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04E254E7-B5A7-44DF-8418-063D8A3B64E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0" i="5"/>
  <c r="E10" i="5"/>
  <c r="X10" i="5" s="1"/>
  <c r="V11" i="5"/>
  <c r="E11" i="5"/>
  <c r="X11" i="5" s="1"/>
  <c r="V12" i="5"/>
  <c r="E12" i="5"/>
  <c r="X12" i="5" s="1"/>
  <c r="V13" i="5"/>
  <c r="E13" i="5"/>
  <c r="X13" i="5" s="1"/>
  <c r="V14" i="5"/>
  <c r="E14" i="5"/>
  <c r="V15" i="5"/>
  <c r="E15" i="5"/>
  <c r="X15" i="5" s="1"/>
  <c r="V16" i="5"/>
  <c r="E16" i="5"/>
  <c r="X16" i="5" s="1"/>
  <c r="V17" i="5"/>
  <c r="E17" i="5"/>
  <c r="X17" i="5" s="1"/>
  <c r="V18" i="5"/>
  <c r="E18" i="5"/>
  <c r="X18" i="5" s="1"/>
  <c r="V19" i="5"/>
  <c r="E19" i="5"/>
  <c r="X19" i="5" s="1"/>
  <c r="V20" i="5"/>
  <c r="E20" i="5"/>
  <c r="X20" i="5" s="1"/>
  <c r="V21" i="5"/>
  <c r="E21" i="5"/>
  <c r="X21" i="5" s="1"/>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B15" i="6"/>
  <c r="B14" i="6"/>
  <c r="G14" i="6" s="1"/>
  <c r="H14" i="6" s="1"/>
  <c r="H13" i="6"/>
  <c r="B12" i="6"/>
  <c r="G12" i="6"/>
  <c r="H12" i="6" s="1"/>
  <c r="D12" i="6" s="1"/>
  <c r="B11" i="6"/>
  <c r="G11" i="6"/>
  <c r="H11" i="6" s="1"/>
  <c r="D11" i="6" s="1"/>
  <c r="B8" i="6"/>
  <c r="G8" i="6" s="1"/>
  <c r="H8" i="6" s="1"/>
  <c r="D8" i="6" s="1"/>
  <c r="B7" i="6"/>
  <c r="G7" i="6" s="1"/>
  <c r="H7" i="6" s="1"/>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B45" i="4" s="1"/>
  <c r="A30" i="6" s="1"/>
  <c r="P44" i="4"/>
  <c r="B44" i="4" s="1"/>
  <c r="A29" i="6" s="1"/>
  <c r="P43" i="4"/>
  <c r="Q43" i="4" s="1"/>
  <c r="P41" i="4"/>
  <c r="P40" i="4"/>
  <c r="P39" i="4"/>
  <c r="B39" i="4" s="1"/>
  <c r="B51" i="4" s="1"/>
  <c r="A35" i="6" s="1"/>
  <c r="P38" i="4"/>
  <c r="P37" i="4"/>
  <c r="Q37" i="4" s="1"/>
  <c r="P35" i="4"/>
  <c r="P34" i="4"/>
  <c r="P33" i="4"/>
  <c r="P32" i="4"/>
  <c r="P31" i="4"/>
  <c r="Q31" i="4" s="1"/>
  <c r="P29" i="4"/>
  <c r="P28" i="4"/>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27" i="6" s="1"/>
  <c r="G27" i="6" s="1"/>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A27"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47" i="5"/>
  <c r="S598" i="5"/>
  <c r="S532" i="5"/>
  <c r="S356" i="5"/>
  <c r="S343" i="5"/>
  <c r="S315" i="5"/>
  <c r="X22"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42" i="6"/>
  <c r="G42" i="6" s="1"/>
  <c r="B39" i="6"/>
  <c r="G39" i="6"/>
  <c r="F24" i="6"/>
  <c r="F44" i="6" s="1"/>
  <c r="H44" i="6" s="1"/>
  <c r="D44" i="6" s="1"/>
  <c r="B44" i="6"/>
  <c r="G44" i="6" s="1"/>
  <c r="B49" i="6"/>
  <c r="G49" i="6"/>
  <c r="B34" i="6"/>
  <c r="G34" i="6" s="1"/>
  <c r="B29" i="6"/>
  <c r="G29" i="6"/>
  <c r="B24" i="6"/>
  <c r="G24" i="6"/>
  <c r="G19" i="6"/>
  <c r="H19" i="6" s="1"/>
  <c r="D19" i="6" s="1"/>
  <c r="F2426" i="5"/>
  <c r="R2426" i="5"/>
  <c r="J2426" i="5"/>
  <c r="I2426" i="5"/>
  <c r="H2426" i="5"/>
  <c r="F2446" i="5"/>
  <c r="H2446" i="5"/>
  <c r="X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70" i="4"/>
  <c r="A51" i="6" s="1"/>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S611" i="5"/>
  <c r="S601" i="5"/>
  <c r="X454" i="5"/>
  <c r="S600" i="5"/>
  <c r="S382" i="5"/>
  <c r="S533" i="5"/>
  <c r="S355" i="5"/>
  <c r="S602" i="5"/>
  <c r="X262" i="5"/>
  <c r="S603" i="5"/>
  <c r="S605" i="5"/>
  <c r="S607" i="5"/>
  <c r="S314" i="5"/>
  <c r="AB12" i="5"/>
  <c r="AB10" i="5"/>
  <c r="AB14" i="5"/>
  <c r="AB17" i="5"/>
  <c r="AB16" i="5"/>
  <c r="AB13" i="5"/>
  <c r="AB15" i="5"/>
  <c r="AB1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15" i="5"/>
  <c r="J15" i="5"/>
  <c r="I15" i="5"/>
  <c r="F15" i="5"/>
  <c r="R15" i="5"/>
  <c r="H11" i="5"/>
  <c r="R11" i="5"/>
  <c r="J11" i="5"/>
  <c r="F11" i="5"/>
  <c r="I11" i="5"/>
  <c r="I14" i="5"/>
  <c r="R14" i="5"/>
  <c r="J14" i="5"/>
  <c r="H14" i="5"/>
  <c r="F14" i="5"/>
  <c r="X14" i="5"/>
  <c r="S17" i="5"/>
  <c r="S12" i="5"/>
  <c r="S16" i="5"/>
  <c r="S15" i="5"/>
  <c r="S13" i="5"/>
  <c r="S14" i="5"/>
  <c r="S10" i="5"/>
  <c r="S11" i="5"/>
  <c r="G64" i="6" a="1"/>
  <c r="D17" i="6" l="1"/>
  <c r="B37" i="6"/>
  <c r="G37" i="6" s="1"/>
  <c r="B32" i="6"/>
  <c r="G32" i="6" s="1"/>
  <c r="C17" i="6"/>
  <c r="F27" i="6"/>
  <c r="B47" i="6"/>
  <c r="G47" i="6" s="1"/>
  <c r="C22" i="6"/>
  <c r="G22" i="6"/>
  <c r="H22" i="6" s="1"/>
  <c r="D22" i="6" s="1"/>
  <c r="B41" i="6"/>
  <c r="G41" i="6" s="1"/>
  <c r="B46" i="6"/>
  <c r="G46" i="6" s="1"/>
  <c r="G16" i="6"/>
  <c r="H16" i="6" s="1"/>
  <c r="F26" i="6"/>
  <c r="B51" i="6"/>
  <c r="G51" i="6" s="1"/>
  <c r="F21" i="6"/>
  <c r="B31" i="6"/>
  <c r="G31" i="6" s="1"/>
  <c r="B21" i="6"/>
  <c r="B36" i="6"/>
  <c r="G36" i="6" s="1"/>
  <c r="G15" i="6"/>
  <c r="H15" i="6" s="1"/>
  <c r="B20" i="6"/>
  <c r="B45" i="6" s="1"/>
  <c r="G45" i="6" s="1"/>
  <c r="C15" i="6"/>
  <c r="F20" i="6"/>
  <c r="B40" i="6"/>
  <c r="G40" i="6" s="1"/>
  <c r="B35" i="6"/>
  <c r="G35" i="6" s="1"/>
  <c r="B37" i="4"/>
  <c r="A23" i="6" s="1"/>
  <c r="B55" i="4"/>
  <c r="A38" i="6" s="1"/>
  <c r="B83" i="4"/>
  <c r="A59" i="6" s="1"/>
  <c r="B61" i="4"/>
  <c r="A43" i="6" s="1"/>
  <c r="B49" i="4"/>
  <c r="A33" i="6" s="1"/>
  <c r="B85" i="4"/>
  <c r="A60" i="6" s="1"/>
  <c r="B81" i="4"/>
  <c r="A58" i="6" s="1"/>
  <c r="B87" i="4"/>
  <c r="A62" i="6" s="1"/>
  <c r="B75" i="4"/>
  <c r="A54" i="6" s="1"/>
  <c r="B43" i="4"/>
  <c r="A28" i="6" s="1"/>
  <c r="B67" i="4"/>
  <c r="A48" i="6" s="1"/>
  <c r="B77" i="4"/>
  <c r="A55" i="6" s="1"/>
  <c r="B79" i="4"/>
  <c r="A57" i="6" s="1"/>
  <c r="B31" i="4"/>
  <c r="A18" i="6" s="1"/>
  <c r="B89" i="4"/>
  <c r="A63" i="6" s="1"/>
  <c r="D14" i="6"/>
  <c r="K65" i="6"/>
  <c r="F29" i="6"/>
  <c r="H29" i="6" s="1"/>
  <c r="D29" i="6" s="1"/>
  <c r="F49" i="6"/>
  <c r="H49" i="6" s="1"/>
  <c r="D49" i="6" s="1"/>
  <c r="C39" i="6"/>
  <c r="F65" i="6"/>
  <c r="F39" i="6"/>
  <c r="H39" i="6" s="1"/>
  <c r="D39" i="6" s="1"/>
  <c r="F34" i="6"/>
  <c r="H34" i="6" s="1"/>
  <c r="D34" i="6" s="1"/>
  <c r="H24" i="6"/>
  <c r="D24" i="6" s="1"/>
  <c r="C44" i="6"/>
  <c r="C14" i="6"/>
  <c r="C19" i="6"/>
  <c r="C8" i="5"/>
  <c r="C6" i="5"/>
  <c r="V6" i="5" s="1"/>
  <c r="C9" i="5"/>
  <c r="B5" i="5"/>
  <c r="B9" i="5"/>
  <c r="B7" i="5"/>
  <c r="C7" i="5"/>
  <c r="C5" i="5"/>
  <c r="B8"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F37" i="6" l="1"/>
  <c r="H37" i="6" s="1"/>
  <c r="F32" i="6"/>
  <c r="H32" i="6" s="1"/>
  <c r="F47" i="6"/>
  <c r="H47" i="6" s="1"/>
  <c r="F42" i="6"/>
  <c r="H42" i="6" s="1"/>
  <c r="H27" i="6"/>
  <c r="F68" i="6"/>
  <c r="F52" i="6"/>
  <c r="H52" i="6" s="1"/>
  <c r="K68" i="6"/>
  <c r="F41" i="6"/>
  <c r="H41" i="6" s="1"/>
  <c r="F36" i="6"/>
  <c r="H36" i="6" s="1"/>
  <c r="F46" i="6"/>
  <c r="H46" i="6" s="1"/>
  <c r="F51" i="6"/>
  <c r="H51" i="6" s="1"/>
  <c r="F67" i="6"/>
  <c r="F31" i="6"/>
  <c r="H31" i="6" s="1"/>
  <c r="D16" i="6"/>
  <c r="G21" i="6"/>
  <c r="H21" i="6" s="1"/>
  <c r="B26" i="6"/>
  <c r="G26" i="6" s="1"/>
  <c r="H26" i="6" s="1"/>
  <c r="C16" i="6"/>
  <c r="V8" i="5"/>
  <c r="H8" i="5" s="1"/>
  <c r="B50" i="6"/>
  <c r="G50" i="6" s="1"/>
  <c r="B25" i="6"/>
  <c r="G25" i="6" s="1"/>
  <c r="B30" i="6"/>
  <c r="G30" i="6" s="1"/>
  <c r="G20" i="6"/>
  <c r="H20" i="6" s="1"/>
  <c r="K66" i="6" s="1"/>
  <c r="D15" i="6"/>
  <c r="F25" i="6"/>
  <c r="C2" i="6"/>
  <c r="B2" i="6"/>
  <c r="C34" i="6"/>
  <c r="C49" i="6"/>
  <c r="C29" i="6"/>
  <c r="C24" i="6"/>
  <c r="AB6" i="5"/>
  <c r="V5" i="5"/>
  <c r="G68" i="6"/>
  <c r="H68" i="6" s="1"/>
  <c r="G66" i="6"/>
  <c r="AB5" i="5"/>
  <c r="G67" i="6"/>
  <c r="H67" i="6" s="1"/>
  <c r="V7" i="5"/>
  <c r="G7" i="5" s="1"/>
  <c r="V9" i="5"/>
  <c r="F69" i="6"/>
  <c r="C69" i="6" s="1"/>
  <c r="AB7" i="5"/>
  <c r="G65" i="6" s="1"/>
  <c r="H65" i="6" s="1"/>
  <c r="AB8" i="5"/>
  <c r="AB9" i="5"/>
  <c r="E6" i="5"/>
  <c r="H6" i="5"/>
  <c r="F6" i="5"/>
  <c r="J6" i="5"/>
  <c r="G6" i="5"/>
  <c r="R6" i="5"/>
  <c r="I6" i="5"/>
  <c r="H64" i="6"/>
  <c r="B64" i="6"/>
  <c r="D27" i="6" l="1"/>
  <c r="C27" i="6"/>
  <c r="D42" i="6"/>
  <c r="C42" i="6"/>
  <c r="D52" i="6"/>
  <c r="C52" i="6"/>
  <c r="D47" i="6"/>
  <c r="C47" i="6"/>
  <c r="D32" i="6"/>
  <c r="C32" i="6"/>
  <c r="D37" i="6"/>
  <c r="C37" i="6"/>
  <c r="D26" i="6"/>
  <c r="C26" i="6"/>
  <c r="D21" i="6"/>
  <c r="C21" i="6"/>
  <c r="K67" i="6"/>
  <c r="D31" i="6"/>
  <c r="C31" i="6"/>
  <c r="D51" i="6"/>
  <c r="C51" i="6"/>
  <c r="D46" i="6"/>
  <c r="C46" i="6"/>
  <c r="D36" i="6"/>
  <c r="C36" i="6"/>
  <c r="D41" i="6"/>
  <c r="C41" i="6"/>
  <c r="G8" i="5"/>
  <c r="J8" i="5"/>
  <c r="F45" i="6"/>
  <c r="H45" i="6" s="1"/>
  <c r="F50" i="6"/>
  <c r="H50" i="6" s="1"/>
  <c r="F30" i="6"/>
  <c r="H30" i="6" s="1"/>
  <c r="H25" i="6"/>
  <c r="F35" i="6"/>
  <c r="H35" i="6" s="1"/>
  <c r="F66" i="6"/>
  <c r="H66" i="6" s="1"/>
  <c r="F40" i="6"/>
  <c r="H40" i="6" s="1"/>
  <c r="F54" i="6"/>
  <c r="E8" i="5"/>
  <c r="F8" i="5"/>
  <c r="I8" i="5"/>
  <c r="R8" i="5"/>
  <c r="D20" i="6"/>
  <c r="C20" i="6"/>
  <c r="D65" i="6"/>
  <c r="C65" i="6"/>
  <c r="D67" i="6"/>
  <c r="C67" i="6"/>
  <c r="I5" i="5"/>
  <c r="H5" i="5"/>
  <c r="J5" i="5"/>
  <c r="F5" i="5"/>
  <c r="E5" i="5"/>
  <c r="R5" i="5"/>
  <c r="D68" i="6"/>
  <c r="C68" i="6"/>
  <c r="E9" i="5"/>
  <c r="R9" i="5"/>
  <c r="J9" i="5"/>
  <c r="H9" i="5"/>
  <c r="F9" i="5"/>
  <c r="I9" i="5"/>
  <c r="X6" i="5"/>
  <c r="G9" i="5"/>
  <c r="H7" i="5"/>
  <c r="F7" i="5"/>
  <c r="E7" i="5"/>
  <c r="R7" i="5"/>
  <c r="J7" i="5"/>
  <c r="I7" i="5"/>
  <c r="G5" i="5"/>
  <c r="D64" i="6"/>
  <c r="C64" i="6"/>
  <c r="S8" i="5"/>
  <c r="T8" i="5"/>
  <c r="S6" i="5"/>
  <c r="C66" i="6" l="1"/>
  <c r="D66" i="6"/>
  <c r="X8" i="5"/>
  <c r="F55" i="6"/>
  <c r="F57" i="6"/>
  <c r="H57" i="6" s="1"/>
  <c r="H54" i="6"/>
  <c r="F62" i="6"/>
  <c r="H62" i="6" s="1"/>
  <c r="F60" i="6"/>
  <c r="H60" i="6" s="1"/>
  <c r="F59" i="6"/>
  <c r="H59" i="6" s="1"/>
  <c r="F58" i="6"/>
  <c r="H58" i="6" s="1"/>
  <c r="F63" i="6"/>
  <c r="H63" i="6" s="1"/>
  <c r="D50" i="6"/>
  <c r="C50" i="6"/>
  <c r="D40" i="6"/>
  <c r="C40" i="6"/>
  <c r="D35" i="6"/>
  <c r="C35" i="6"/>
  <c r="D25" i="6"/>
  <c r="C25" i="6"/>
  <c r="D30" i="6"/>
  <c r="C30" i="6"/>
  <c r="D45" i="6"/>
  <c r="C45" i="6"/>
  <c r="X7" i="5"/>
  <c r="X9" i="5"/>
  <c r="X5" i="5"/>
  <c r="G69" i="6" a="1"/>
  <c r="G69" i="6" s="1"/>
  <c r="H69" i="6" s="1"/>
  <c r="S7" i="5"/>
  <c r="T6" i="5"/>
  <c r="S5" i="5"/>
  <c r="S9" i="5"/>
  <c r="C58" i="6" l="1"/>
  <c r="D58" i="6"/>
  <c r="D57" i="6"/>
  <c r="C57" i="6"/>
  <c r="F56" i="6"/>
  <c r="H56" i="6" s="1"/>
  <c r="H55" i="6"/>
  <c r="D63" i="6"/>
  <c r="C63" i="6"/>
  <c r="D59" i="6"/>
  <c r="C59" i="6"/>
  <c r="D60" i="6"/>
  <c r="C60" i="6"/>
  <c r="D62" i="6"/>
  <c r="C62" i="6"/>
  <c r="D54" i="6"/>
  <c r="C54" i="6"/>
  <c r="T9" i="5"/>
  <c r="T5" i="5"/>
  <c r="T7" i="5"/>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<sst xmlns="http://schemas.openxmlformats.org/spreadsheetml/2006/main" count="22352" uniqueCount="15840">
  <si>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</si>
  <si>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</si>
  <si>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</si>
  <si>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</si>
  <si>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</si>
  <si>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</si>
  <si>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</si>
  <si>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</si>
  <si>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</si>
  <si>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</si>
  <si>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</si>
  <si>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</si>
  <si>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</si>
  <si>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</si>
  <si>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</si>
  <si>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</si>
  <si>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</si>
  <si>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</si>
  <si>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</si>
  <si>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</si>
  <si>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</si>
  <si>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</si>
  <si>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</si>
  <si>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</si>
  <si>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</si>
  <si>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</si>
  <si>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</si>
  <si>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</si>
  <si>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</si>
  <si>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</si>
  <si>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</si>
  <si>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</si>
  <si>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</si>
  <si>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</si>
  <si>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</si>
  <si>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</si>
  <si>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</si>
  <si>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</si>
  <si>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</si>
  <si>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</si>
  <si>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</si>
  <si>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</si>
  <si>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</si>
  <si>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</si>
  <si>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</si>
  <si>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</si>
  <si>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</si>
  <si>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</si>
  <si>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</si>
  <si>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</si>
  <si>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</si>
  <si>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</si>
  <si>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</si>
  <si>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</si>
  <si>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</si>
  <si>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</si>
  <si>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</si>
  <si>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</si>
  <si>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</si>
  <si>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</si>
  <si>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</si>
  <si>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</si>
  <si>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</si>
  <si>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</si>
  <si>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</si>
  <si>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</si>
  <si>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</si>
  <si>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</si>
  <si>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</si>
  <si>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</si>
  <si>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</si>
  <si>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</si>
  <si>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</si>
  <si>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</si>
  <si>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</si>
  <si>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</si>
  <si>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</si>
  <si>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</si>
  <si>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</si>
  <si>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</si>
  <si>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</si>
  <si>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</si>
  <si>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</si>
  <si>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</si>
  <si>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</si>
  <si>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</si>
  <si>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</si>
  <si>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</si>
  <si>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</si>
  <si>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</si>
  <si>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</si>
  <si>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</si>
  <si>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</si>
  <si>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</si>
  <si>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</si>
  <si>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</si>
  <si>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</si>
  <si>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</si>
  <si>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</si>
  <si>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</si>
  <si>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</si>
  <si>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</si>
  <si>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</si>
  <si>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</si>
  <si>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</si>
  <si>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</si>
  <si>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</si>
  <si>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</si>
  <si>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</si>
  <si>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</si>
  <si>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</si>
  <si>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</si>
  <si>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</si>
  <si>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</si>
  <si>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</si>
  <si>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</si>
  <si>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</si>
  <si>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</si>
  <si>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</si>
  <si>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</si>
  <si>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</si>
  <si>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</si>
  <si>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</si>
  <si>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</si>
  <si>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</si>
  <si>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</si>
  <si>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</si>
  <si>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</si>
  <si>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</si>
  <si>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</si>
  <si>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</si>
  <si>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</si>
  <si>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</si>
  <si>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</si>
  <si>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</si>
  <si>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</si>
  <si>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</si>
  <si>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</si>
  <si>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</si>
  <si>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</si>
  <si>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</si>
  <si>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</si>
  <si>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</si>
  <si>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</si>
  <si>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</si>
  <si>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</si>
  <si>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</si>
  <si>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</si>
  <si>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</si>
  <si>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</si>
  <si>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</si>
  <si>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</si>
  <si>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</si>
  <si>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</si>
  <si>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</si>
  <si>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</si>
  <si>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</si>
  <si>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</si>
  <si>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</si>
  <si>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</si>
  <si>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</si>
  <si>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</si>
  <si>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</si>
  <si>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</si>
  <si>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</si>
  <si>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</si>
  <si>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</si>
  <si>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</si>
  <si>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</si>
  <si>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</si>
  <si>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</si>
  <si>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</si>
  <si>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</si>
  <si>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</si>
  <si>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</si>
  <si>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</si>
  <si>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</si>
  <si>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</si>
  <si>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</si>
  <si>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</si>
  <si>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</si>
  <si>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</si>
  <si>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</si>
  <si>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</si>
  <si>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</si>
  <si>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</si>
  <si>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</si>
  <si>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</si>
  <si>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</si>
  <si>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</si>
  <si>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</si>
  <si>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</si>
  <si>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</si>
  <si>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</si>
  <si>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</si>
  <si>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</si>
  <si>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</si>
  <si>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</si>
  <si>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</si>
  <si>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</si>
  <si>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</si>
  <si>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</si>
  <si>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</si>
  <si>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</si>
  <si>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</si>
  <si>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</si>
  <si>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</si>
  <si>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</si>
  <si>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</si>
  <si>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</si>
  <si>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</si>
  <si>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</si>
  <si>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</si>
  <si>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</si>
  <si>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</si>
  <si>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</si>
  <si>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</si>
  <si>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</si>
  <si>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</si>
  <si>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</si>
  <si>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</si>
  <si>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</si>
  <si>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</si>
  <si>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</si>
  <si>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</si>
  <si>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</si>
  <si>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</si>
  <si>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</si>
  <si>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</si>
  <si>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</si>
  <si>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</si>
  <si>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</si>
  <si>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</si>
  <si>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</si>
  <si>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</si>
  <si>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</si>
  <si>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</si>
  <si>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</si>
  <si>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</si>
  <si>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</si>
  <si>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</si>
  <si>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</si>
  <si>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</si>
  <si>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</si>
  <si>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</si>
  <si>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</si>
  <si>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</si>
  <si>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</si>
  <si>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</si>
  <si>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</si>
  <si>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</si>
  <si>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</si>
  <si>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</si>
  <si>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</si>
  <si>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</si>
  <si>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</si>
  <si>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</si>
  <si>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</si>
  <si>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</si>
  <si>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</si>
  <si>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</si>
  <si>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</si>
  <si>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</si>
  <si>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</si>
  <si>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</si>
  <si>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</si>
  <si>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</si>
  <si>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</si>
  <si>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</si>
  <si>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</si>
  <si>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</si>
  <si>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</si>
  <si>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</si>
  <si>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</si>
  <si>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</si>
  <si>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</si>
  <si>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</si>
  <si>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</si>
  <si>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</si>
  <si>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</si>
  <si>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</si>
  <si>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</si>
  <si>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</si>
  <si>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</si>
  <si>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</si>
  <si>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</si>
  <si>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</si>
  <si>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</si>
  <si>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</si>
  <si>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</si>
  <si>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</si>
  <si>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</si>
  <si>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</si>
  <si>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</si>
  <si>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</si>
  <si>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</si>
  <si>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</si>
  <si>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</si>
  <si>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</si>
  <si>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</si>
  <si>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</si>
  <si>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</si>
  <si>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</si>
  <si>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</si>
  <si>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</si>
  <si>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</si>
  <si>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</si>
  <si>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</si>
  <si>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</si>
  <si>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</si>
  <si>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</si>
  <si>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</si>
  <si>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</si>
  <si>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</si>
  <si>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</si>
  <si>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</si>
  <si>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</si>
  <si>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</si>
  <si>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</si>
  <si>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</si>
  <si>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</si>
  <si>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</si>
  <si>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</si>
  <si>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</si>
  <si>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</si>
  <si>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</si>
  <si>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</si>
  <si>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</si>
  <si>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</si>
  <si>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</si>
  <si>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</si>
  <si>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</si>
  <si>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</si>
  <si>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</si>
  <si>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</si>
  <si>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</si>
  <si>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</si>
  <si>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</si>
  <si>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</si>
  <si>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</si>
  <si>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</si>
  <si>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</si>
  <si>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</si>
  <si>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</si>
  <si>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</si>
  <si>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</si>
  <si>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</si>
  <si>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</si>
  <si>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</si>
  <si>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</si>
  <si>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</si>
  <si>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</si>
  <si>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</si>
  <si>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</si>
  <si>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</si>
  <si>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</si>
  <si>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</si>
  <si>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</si>
  <si>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</si>
  <si>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</si>
  <si>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</si>
  <si>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</si>
  <si>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</si>
  <si>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</si>
  <si>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</si>
  <si>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</si>
  <si>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</si>
  <si>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</si>
  <si>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</si>
  <si>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</si>
  <si>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</si>
  <si>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</si>
  <si>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</si>
  <si>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</si>
  <si>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</si>
  <si>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</si>
  <si>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</si>
  <si>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</si>
  <si>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</si>
  <si>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</si>
  <si>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</si>
  <si>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</si>
  <si>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</si>
  <si>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</si>
  <si>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</si>
  <si>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</si>
  <si>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</si>
  <si>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</si>
  <si>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</si>
  <si>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</si>
  <si>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</si>
  <si>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</si>
  <si>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</si>
  <si>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</si>
  <si>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</si>
  <si>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</si>
  <si>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</si>
  <si>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</si>
  <si>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</si>
  <si>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</si>
  <si>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</si>
  <si>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</si>
  <si>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</si>
  <si>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</si>
  <si>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</si>
  <si>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</si>
  <si>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</si>
  <si>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</si>
  <si>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</si>
  <si>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</si>
  <si>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</si>
  <si>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</si>
  <si>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</si>
  <si>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</si>
  <si>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</si>
  <si>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</si>
  <si>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</si>
  <si>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</si>
  <si>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</si>
  <si>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</si>
  <si>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</si>
  <si>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</si>
  <si>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</si>
  <si>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</si>
  <si>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</si>
  <si>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</si>
  <si>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</si>
  <si>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</si>
  <si>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</si>
  <si>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</si>
  <si>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</si>
  <si>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</si>
  <si>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</si>
  <si>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</si>
  <si>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</si>
  <si>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</si>
  <si>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</si>
  <si>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</si>
  <si>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</si>
  <si>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</si>
  <si>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</si>
  <si>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</si>
  <si>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</si>
  <si>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</si>
  <si>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</si>
  <si>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</si>
  <si>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</si>
  <si>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</si>
  <si>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</si>
  <si>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</si>
  <si>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</si>
  <si>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</si>
  <si>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</si>
  <si>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</si>
  <si>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</si>
  <si>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</si>
  <si>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</si>
  <si>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</si>
  <si>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</si>
  <si>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</si>
  <si>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</si>
  <si>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</si>
  <si>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</si>
  <si>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</si>
  <si>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</si>
  <si>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</si>
  <si>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</si>
  <si>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</si>
  <si>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</si>
  <si>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</si>
  <si>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</si>
  <si>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</si>
  <si>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</si>
  <si>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</si>
  <si>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</si>
  <si>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</si>
  <si>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</si>
  <si>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</si>
  <si>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</si>
  <si>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</si>
  <si>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</si>
  <si>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</si>
  <si>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</si>
  <si>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</si>
  <si>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</si>
  <si>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</si>
  <si>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</si>
  <si>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</si>
  <si>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</si>
  <si>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</si>
  <si>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</si>
  <si>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</si>
  <si>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</si>
  <si>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</si>
  <si>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</si>
  <si>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</si>
  <si>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</si>
  <si>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</si>
  <si>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</si>
  <si>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</si>
  <si>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</si>
  <si>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</si>
  <si>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</si>
  <si>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</si>
  <si>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</si>
  <si>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</si>
  <si>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</si>
  <si>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</si>
  <si>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</si>
  <si>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</si>
  <si>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</si>
  <si>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</si>
  <si>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</si>
  <si>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</si>
  <si>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</si>
  <si>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</si>
  <si>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</si>
  <si>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</si>
  <si>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</si>
  <si>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</si>
  <si>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</si>
  <si>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</si>
  <si>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</si>
  <si>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</si>
  <si>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</si>
  <si>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</si>
  <si>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</si>
  <si>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</si>
  <si>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</si>
  <si>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</si>
  <si>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</si>
  <si>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</si>
  <si>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</si>
  <si>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</si>
  <si>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</si>
  <si>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</si>
  <si>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</si>
  <si>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</si>
  <si>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</si>
  <si>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</si>
  <si>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</si>
  <si>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</si>
  <si>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</si>
  <si>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</si>
  <si>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</si>
  <si>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</si>
  <si>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</si>
  <si>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</si>
  <si>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</si>
  <si>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</si>
  <si>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</si>
  <si>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</si>
  <si>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</si>
  <si>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</si>
  <si>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</si>
  <si>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</si>
  <si>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</si>
  <si>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</si>
  <si>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</si>
  <si>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</si>
  <si>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</si>
  <si>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</si>
  <si>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</si>
  <si>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</si>
  <si>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</si>
  <si>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</si>
  <si>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</si>
  <si>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</si>
  <si>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</si>
  <si>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</si>
  <si>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</si>
  <si>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</si>
  <si>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</si>
  <si>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</si>
  <si>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</si>
  <si>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</si>
  <si>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</si>
  <si>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</si>
  <si>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</si>
  <si>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</si>
  <si>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</si>
  <si>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</si>
  <si>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</si>
  <si>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</si>
  <si>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</si>
  <si>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</si>
  <si>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</si>
  <si>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</si>
  <si>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</si>
  <si>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</si>
  <si>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</si>
  <si>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</si>
  <si>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</si>
  <si>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</si>
  <si>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</si>
  <si>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</si>
  <si>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</si>
  <si>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</si>
  <si>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</si>
  <si>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</si>
  <si>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</si>
  <si>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</si>
  <si>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</si>
  <si>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</si>
  <si>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</si>
  <si>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</si>
  <si>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</si>
  <si>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</si>
  <si>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</si>
  <si>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</si>
  <si>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</si>
  <si>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</si>
  <si>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</si>
  <si>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</si>
  <si>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</si>
  <si>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</si>
  <si>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</si>
  <si>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</si>
  <si>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</si>
  <si>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</si>
  <si>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</si>
  <si>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</si>
  <si>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</si>
  <si>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</si>
  <si>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</si>
  <si>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</si>
  <si>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</si>
  <si>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</si>
  <si>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</si>
  <si>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</si>
  <si>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</si>
  <si>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</si>
  <si>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</si>
  <si>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</si>
  <si>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</si>
  <si>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</si>
  <si>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</si>
  <si>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</si>
  <si>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</si>
  <si>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</si>
  <si>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</si>
  <si>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</si>
  <si>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</si>
  <si>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</si>
  <si>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</si>
  <si>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</si>
  <si>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</si>
  <si>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</si>
  <si>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</si>
  <si>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</si>
  <si>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</si>
  <si>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</si>
  <si>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</si>
  <si>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</si>
  <si>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</si>
  <si>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</si>
  <si>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</si>
  <si>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</si>
  <si>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</si>
  <si>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</si>
  <si>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</si>
  <si>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</si>
  <si>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</si>
  <si>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</si>
  <si>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</si>
  <si>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</si>
  <si>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</si>
  <si>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</si>
  <si>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</si>
  <si>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</si>
  <si>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</si>
  <si>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</si>
  <si>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</si>
  <si>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</si>
  <si>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</si>
  <si>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</si>
  <si>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</si>
  <si>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</si>
  <si>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</si>
  <si>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</si>
  <si>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</si>
  <si>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</si>
  <si>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</si>
  <si>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</si>
  <si>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</si>
  <si>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</si>
  <si>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</si>
  <si>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</si>
  <si>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</si>
  <si>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</si>
  <si>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</si>
  <si>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</si>
  <si>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</si>
  <si>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</si>
  <si>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</si>
  <si>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</si>
  <si>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</si>
  <si>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</si>
  <si>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</si>
  <si>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</si>
  <si>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</si>
  <si>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</si>
  <si>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</si>
  <si>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</si>
  <si>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</si>
  <si>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</si>
  <si>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</si>
  <si>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</si>
  <si>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</si>
  <si>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</si>
  <si>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</si>
  <si>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</si>
  <si>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</si>
  <si>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</si>
  <si>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</si>
  <si>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</si>
  <si>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</si>
  <si>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</si>
  <si>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</si>
  <si>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</si>
  <si>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</si>
  <si>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</si>
  <si>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</si>
  <si>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</si>
  <si>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</si>
  <si>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</si>
  <si>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</si>
  <si>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</si>
  <si>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</si>
  <si>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</si>
  <si>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</si>
  <si>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</si>
  <si>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</si>
  <si>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</si>
  <si>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</si>
  <si>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</si>
  <si>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</si>
  <si>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</si>
  <si>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</si>
  <si>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</si>
  <si>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</si>
  <si>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</si>
  <si>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</si>
  <si>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</si>
  <si>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</si>
  <si>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</si>
  <si>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</si>
  <si>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</si>
  <si>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</si>
  <si>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</si>
  <si>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</si>
  <si>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</si>
  <si>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</si>
  <si>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</si>
  <si>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</si>
  <si>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</si>
  <si>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</si>
  <si>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</si>
  <si>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</si>
  <si>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</si>
  <si>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</si>
  <si>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</si>
  <si>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</si>
  <si>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</si>
  <si>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</si>
  <si>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</si>
  <si>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</si>
  <si>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</si>
  <si>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</si>
  <si>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</si>
  <si>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</si>
  <si>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</si>
  <si>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</si>
  <si>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</si>
  <si>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</si>
  <si>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</si>
  <si>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</si>
  <si>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</si>
  <si>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</si>
  <si>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</si>
  <si>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</si>
  <si>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</si>
  <si>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</si>
  <si>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</si>
  <si>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</si>
  <si>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</si>
  <si>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</si>
  <si>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</si>
  <si>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</si>
  <si>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</si>
  <si>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</si>
  <si>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</si>
  <si>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</si>
  <si>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</si>
  <si>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</si>
  <si>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</si>
  <si>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</si>
  <si>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</si>
  <si>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</si>
  <si>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</si>
  <si>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</si>
  <si>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</si>
  <si>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</si>
  <si>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</si>
  <si>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</si>
  <si>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</si>
  <si>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</si>
  <si>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</si>
  <si>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</si>
  <si>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</si>
  <si>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</si>
  <si>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</si>
  <si>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</si>
  <si>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</si>
  <si>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</si>
  <si>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</si>
  <si>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</si>
  <si>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</si>
  <si>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</si>
  <si>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</si>
  <si>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</si>
  <si>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</si>
  <si>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</si>
  <si>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</si>
  <si>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</si>
  <si>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</si>
  <si>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</si>
  <si>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</si>
  <si>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</si>
  <si>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</si>
  <si>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</si>
  <si>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</si>
  <si>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</si>
  <si>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</si>
  <si>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</si>
  <si>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</si>
  <si>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</si>
  <si>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</si>
  <si>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</si>
  <si>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</si>
  <si>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</si>
  <si>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</si>
  <si>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</si>
  <si>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</si>
  <si>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</si>
  <si>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</si>
  <si>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</si>
  <si>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</si>
  <si>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</si>
  <si>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</si>
  <si>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</si>
  <si>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</si>
  <si>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</si>
  <si>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</si>
  <si>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</si>
  <si>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</si>
  <si>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</si>
  <si>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</si>
  <si>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</si>
  <si>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</si>
  <si>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</si>
  <si>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</si>
  <si>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</si>
  <si>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</si>
  <si>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</si>
  <si>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</si>
  <si>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</si>
  <si>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</si>
  <si>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</si>
  <si>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</si>
  <si>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</si>
  <si>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</si>
  <si>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</si>
  <si>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</si>
  <si>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</si>
  <si>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</si>
  <si>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</si>
  <si>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</si>
  <si>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</si>
  <si>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</si>
  <si>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</si>
  <si>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</si>
  <si>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</si>
  <si>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</si>
  <si>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</si>
  <si>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</si>
  <si>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</si>
  <si>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</si>
  <si>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</si>
  <si>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</si>
  <si>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</si>
  <si>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</si>
  <si>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</si>
  <si>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</si>
  <si>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</si>
  <si>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</si>
  <si>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</si>
  <si>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</si>
  <si>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</si>
  <si>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</si>
  <si>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</si>
  <si>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</si>
  <si>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</si>
  <si>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</si>
  <si>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</si>
  <si>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</si>
  <si>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</si>
  <si>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</si>
  <si>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</si>
  <si>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</si>
  <si>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</si>
  <si>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</si>
  <si>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</si>
  <si>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</si>
  <si>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</si>
  <si>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</si>
  <si>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</si>
  <si>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</si>
  <si>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</si>
  <si>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</si>
  <si>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</si>
  <si>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</si>
  <si>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</si>
  <si>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</si>
  <si>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</si>
  <si>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</si>
  <si>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</si>
  <si>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</si>
  <si>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</si>
  <si>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</si>
  <si>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</si>
  <si>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</si>
  <si>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</si>
  <si>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</si>
  <si>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</si>
  <si>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</si>
  <si>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</si>
  <si>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</si>
  <si>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</si>
  <si>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</si>
  <si>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</si>
  <si>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</si>
  <si>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</si>
  <si>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</si>
  <si>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</si>
  <si>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</si>
  <si>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</si>
  <si>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</si>
  <si>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</si>
  <si>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</si>
  <si>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</si>
  <si>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</si>
  <si>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</si>
  <si>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</si>
  <si>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</si>
  <si>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</si>
  <si>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</si>
  <si>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</si>
  <si>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</si>
  <si>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</si>
  <si>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</si>
  <si>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</si>
  <si>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</si>
  <si>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</si>
  <si>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</si>
  <si>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</si>
  <si>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</si>
  <si>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</si>
  <si>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</si>
  <si>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</si>
  <si>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</si>
  <si>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</si>
  <si>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</si>
  <si>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</si>
  <si>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</si>
  <si>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</si>
  <si>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</si>
  <si>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</si>
  <si>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</si>
  <si>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</si>
  <si>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</si>
  <si>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</si>
  <si>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</si>
  <si>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</si>
  <si>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</si>
  <si>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</si>
  <si>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</si>
  <si>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</si>
  <si>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</si>
  <si>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</si>
  <si>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</si>
  <si>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</si>
  <si>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</si>
  <si>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</si>
  <si>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</si>
  <si>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</si>
  <si>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</si>
  <si>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</si>
  <si>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</si>
  <si>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</si>
  <si>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</si>
  <si>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</si>
  <si>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</si>
  <si>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</si>
  <si>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</si>
  <si>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</si>
  <si>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</si>
  <si>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</si>
  <si>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</si>
  <si>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</si>
  <si>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</si>
  <si>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</si>
  <si>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</si>
  <si>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</si>
  <si>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</si>
  <si>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</si>
  <si>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</si>
  <si>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</si>
  <si>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</si>
  <si>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</si>
  <si>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</si>
  <si>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</si>
  <si>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</si>
  <si>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</si>
  <si>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</si>
  <si>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</si>
  <si>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</si>
  <si>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</si>
  <si>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</si>
  <si>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</si>
  <si>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</si>
  <si>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</si>
  <si>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</si>
  <si>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</si>
  <si>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</si>
  <si>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</si>
  <si>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</si>
  <si>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</si>
  <si>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</si>
  <si>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</si>
  <si>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</si>
  <si>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</si>
  <si>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</si>
  <si>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</si>
  <si>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</si>
  <si>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</si>
  <si>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</si>
  <si>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</si>
  <si>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</si>
  <si>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</si>
  <si>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</si>
  <si>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</si>
  <si>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</si>
  <si>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</si>
  <si>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</si>
  <si>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</si>
  <si>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</si>
  <si>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</si>
  <si>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</si>
  <si>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</si>
  <si>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</si>
  <si>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</si>
  <si>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</si>
  <si>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</si>
  <si>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</si>
  <si>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</si>
  <si>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</si>
  <si>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</si>
  <si>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</si>
  <si>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</si>
  <si>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</si>
  <si>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</si>
  <si>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</si>
  <si>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</si>
  <si>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</si>
  <si>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</si>
  <si>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</si>
  <si>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</si>
  <si>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</si>
  <si>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</si>
  <si>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</si>
  <si>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</si>
  <si>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</si>
  <si>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</si>
  <si>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</si>
  <si>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</si>
  <si>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</si>
  <si>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</si>
  <si>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</si>
  <si>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</si>
  <si>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</si>
  <si>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</si>
  <si>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</si>
  <si>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</si>
  <si>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</si>
  <si>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</si>
  <si>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</si>
  <si>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</si>
  <si>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</si>
  <si>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</si>
  <si>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</si>
  <si>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</si>
  <si>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</si>
  <si>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</si>
  <si>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</si>
  <si>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</si>
  <si>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</si>
  <si>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</si>
  <si>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</si>
  <si>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</si>
  <si>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</si>
  <si>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</si>
  <si>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</si>
  <si>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</si>
  <si>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</si>
  <si>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</si>
  <si>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</si>
  <si>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</si>
  <si>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</si>
  <si>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</si>
  <si>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</si>
  <si>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</si>
  <si>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</si>
  <si>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</si>
  <si>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</si>
  <si>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</si>
  <si>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</si>
  <si>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</si>
  <si>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</si>
  <si>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</si>
  <si>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</si>
  <si>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</si>
  <si>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</si>
  <si>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</si>
  <si>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</si>
  <si>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</si>
  <si>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</si>
  <si>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</si>
  <si>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</si>
  <si>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</si>
  <si>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</si>
  <si>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</si>
  <si>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</si>
  <si>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</si>
  <si>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</si>
  <si>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</si>
  <si>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</si>
  <si>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</si>
  <si>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</si>
  <si>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</si>
  <si>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</si>
  <si>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</si>
  <si>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</si>
  <si>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</si>
  <si>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</si>
  <si>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</si>
  <si>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</si>
  <si>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</si>
  <si>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</si>
  <si>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</si>
  <si>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</si>
  <si>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</si>
  <si>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</si>
  <si>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</si>
  <si>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</si>
  <si>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</si>
  <si>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</si>
  <si>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</si>
  <si>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</si>
  <si>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</si>
  <si>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</si>
  <si>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</si>
  <si>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</si>
  <si>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</si>
  <si>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</si>
  <si>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</si>
  <si>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</si>
  <si>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</si>
  <si>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</si>
  <si>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</si>
  <si>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</si>
  <si>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</si>
  <si>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</si>
  <si>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</si>
  <si>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</si>
  <si>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</si>
  <si>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</si>
  <si>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</si>
  <si>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</si>
  <si>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</si>
  <si>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</si>
  <si>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</si>
  <si>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</si>
  <si>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</si>
  <si>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</si>
  <si>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</si>
  <si>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</si>
  <si>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</si>
  <si>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</si>
  <si>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</si>
  <si>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</si>
  <si>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</si>
  <si>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</si>
  <si>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</si>
  <si>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</si>
  <si>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</si>
  <si>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</si>
  <si>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</si>
  <si>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</si>
  <si>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</si>
  <si>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</si>
  <si>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</si>
  <si>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</si>
  <si>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</si>
  <si>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</si>
  <si>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</si>
  <si>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</si>
  <si>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</si>
  <si>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</si>
  <si>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</si>
  <si>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</si>
  <si>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</si>
  <si>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</si>
  <si>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</si>
  <si>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</si>
  <si>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</si>
  <si>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</si>
  <si>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</si>
  <si>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</si>
  <si>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</si>
  <si>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</si>
  <si>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</si>
  <si>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</si>
  <si>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</si>
  <si>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</si>
  <si>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</si>
  <si>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</si>
  <si>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</si>
  <si>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</si>
  <si>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</si>
  <si>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</si>
  <si>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</si>
  <si>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</si>
  <si>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</si>
  <si>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</si>
  <si>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</si>
  <si>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</si>
  <si>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</si>
  <si>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</si>
  <si>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</si>
  <si>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</si>
  <si>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</si>
  <si>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</si>
  <si>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</si>
  <si>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</si>
  <si>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</si>
  <si>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</si>
  <si>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</si>
  <si>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</si>
  <si>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</si>
  <si>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</si>
  <si>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</si>
  <si>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</si>
  <si>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</si>
  <si>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</si>
  <si>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</si>
  <si>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</si>
  <si>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</si>
  <si>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</si>
  <si>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</si>
  <si>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</si>
  <si>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</si>
  <si>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</si>
  <si>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</si>
  <si>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</si>
  <si>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</si>
  <si>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</si>
  <si>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</si>
  <si>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</si>
  <si>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</si>
  <si>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</si>
  <si>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</si>
  <si>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</si>
  <si>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</si>
  <si>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</si>
  <si>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</si>
  <si>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</si>
  <si>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</si>
  <si>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</si>
  <si>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</si>
  <si>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</si>
  <si>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</si>
  <si>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</si>
  <si>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</si>
  <si>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</si>
  <si>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</si>
  <si>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</si>
  <si>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</si>
  <si>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</si>
  <si>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</si>
  <si>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</si>
  <si>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</si>
  <si>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</si>
  <si>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</si>
  <si>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</si>
  <si>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</si>
  <si>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</si>
  <si>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</si>
  <si>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</si>
  <si>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</si>
  <si>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</si>
  <si>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</si>
  <si>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</si>
  <si>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</si>
  <si>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</si>
  <si>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</si>
  <si>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</si>
  <si>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</si>
  <si>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</si>
  <si>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</si>
  <si>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</si>
  <si>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</si>
  <si>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</si>
  <si>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</si>
  <si>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</si>
  <si>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</si>
  <si>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</si>
  <si>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</si>
  <si>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</si>
  <si>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</si>
  <si>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</si>
  <si>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</si>
  <si>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</si>
  <si>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</si>
  <si>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</si>
  <si>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</si>
  <si>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</si>
  <si>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</si>
  <si>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</si>
  <si>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</si>
  <si>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</si>
  <si>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</si>
  <si>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</si>
  <si>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</si>
  <si>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</si>
  <si>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</si>
  <si>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</si>
  <si>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</si>
  <si>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</si>
  <si>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</si>
  <si>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</si>
  <si>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</si>
  <si>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</si>
  <si>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</si>
  <si>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</si>
  <si>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</si>
  <si>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</si>
  <si>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</si>
  <si>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</si>
  <si>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</si>
  <si>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</si>
  <si>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</si>
  <si>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</si>
  <si>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</si>
  <si>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</si>
  <si>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</si>
  <si>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</si>
  <si>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</si>
  <si>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</si>
  <si>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</si>
  <si>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</si>
  <si>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</si>
  <si>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</si>
  <si>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</si>
  <si>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</si>
  <si>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</si>
  <si>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</si>
  <si>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</si>
  <si>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</si>
  <si>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</si>
  <si>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</si>
  <si>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</si>
  <si>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</si>
  <si>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</si>
  <si>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</si>
  <si>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</si>
  <si>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</si>
  <si>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</si>
  <si>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</si>
  <si>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</si>
  <si>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</si>
  <si>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</si>
  <si>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</si>
  <si>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</si>
  <si>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</si>
  <si>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</si>
  <si>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</si>
  <si>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</si>
  <si>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</si>
  <si>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</si>
  <si>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</si>
  <si>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</si>
  <si>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</si>
  <si>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</si>
  <si>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</si>
  <si>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</si>
  <si>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</si>
  <si>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</si>
  <si>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</si>
  <si>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</si>
  <si>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</si>
  <si>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</si>
  <si>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</si>
  <si>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</si>
  <si>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</si>
  <si>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</si>
  <si>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</si>
  <si>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</si>
  <si>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</si>
  <si>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</si>
  <si>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</si>
  <si>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</si>
  <si>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</si>
  <si>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</si>
  <si>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</si>
  <si>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</si>
  <si>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</si>
  <si>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</si>
  <si>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</si>
  <si>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</si>
  <si>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</si>
  <si>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</si>
  <si>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</si>
  <si>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</si>
  <si>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</si>
  <si>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</si>
  <si>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</si>
  <si>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</si>
  <si>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</si>
  <si>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</si>
  <si>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</si>
  <si>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</si>
  <si>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</si>
  <si>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</si>
  <si>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</si>
  <si>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</si>
  <si>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</si>
  <si>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</si>
  <si>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</si>
  <si>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</si>
  <si>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</si>
  <si>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</si>
  <si>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</si>
  <si>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</si>
  <si>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</si>
  <si>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</si>
  <si>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</si>
  <si>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</si>
  <si>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</si>
  <si>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</si>
  <si>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</si>
  <si>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</si>
  <si>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</si>
  <si>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</si>
  <si>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</si>
  <si>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</si>
  <si>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</si>
  <si>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</si>
  <si>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</si>
  <si>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</si>
  <si>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</si>
  <si>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</si>
  <si>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</si>
  <si>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</si>
  <si>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</si>
  <si>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</si>
  <si>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</si>
  <si>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</si>
  <si>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</si>
  <si>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</si>
  <si>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</si>
  <si>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</si>
  <si>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</si>
  <si>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</si>
  <si>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</si>
  <si>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</si>
  <si>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</si>
  <si>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</si>
  <si>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</si>
  <si>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</si>
  <si>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</si>
  <si>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</si>
  <si>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</si>
  <si>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</si>
  <si>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</si>
  <si>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</si>
  <si>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</si>
  <si>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</si>
  <si>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</si>
  <si>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</si>
  <si>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</si>
  <si>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</si>
  <si>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</si>
  <si>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</si>
  <si>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</si>
  <si>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</si>
  <si>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</si>
  <si>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</si>
  <si>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</si>
  <si>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</si>
  <si>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</si>
  <si>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</si>
  <si>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</si>
  <si>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</si>
  <si>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</si>
  <si>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</si>
  <si>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</si>
  <si>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</si>
  <si>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</si>
  <si>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</si>
  <si>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</si>
  <si>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</si>
  <si>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</si>
  <si>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</si>
  <si>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</si>
  <si>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</si>
  <si>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</si>
  <si>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</si>
  <si>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</si>
  <si>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</si>
  <si>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</si>
  <si>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</si>
  <si>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</si>
  <si>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</si>
  <si>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</si>
  <si>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</si>
  <si>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</si>
  <si>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</si>
  <si>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</si>
  <si>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</si>
  <si>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</si>
  <si>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</si>
  <si>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</si>
  <si>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</si>
  <si>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</si>
  <si>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</si>
  <si>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</si>
  <si>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</si>
  <si>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</si>
  <si>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</si>
  <si>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</si>
  <si>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</si>
  <si>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</si>
  <si>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</si>
  <si>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</si>
  <si>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</si>
  <si>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</si>
  <si>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</si>
  <si>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</si>
  <si>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</si>
  <si>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</si>
  <si>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</si>
  <si>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</si>
  <si>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</si>
  <si>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</si>
  <si>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</si>
  <si>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</si>
  <si>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</si>
  <si>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</si>
  <si>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</si>
  <si>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</si>
  <si>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</si>
  <si>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</si>
  <si>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</si>
  <si>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</si>
  <si>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</si>
  <si>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</si>
  <si>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</si>
  <si>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</si>
  <si>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</si>
  <si>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</si>
  <si>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</si>
  <si>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</si>
  <si>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</si>
  <si>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</si>
  <si>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</si>
  <si>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</si>
  <si>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</si>
  <si>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</si>
  <si>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</si>
  <si>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</si>
  <si>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</si>
  <si>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</si>
  <si>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</si>
  <si>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</si>
  <si>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</si>
  <si>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</si>
  <si>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</si>
  <si>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</si>
  <si>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</si>
  <si>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</si>
  <si>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</si>
  <si>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</si>
  <si>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</si>
  <si>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</si>
  <si>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</si>
  <si>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</si>
  <si>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</si>
  <si>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</si>
  <si>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</si>
  <si>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</si>
  <si>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</si>
  <si>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</si>
  <si>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</si>
  <si>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</si>
  <si>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</si>
  <si>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</si>
  <si>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</si>
  <si>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</si>
  <si>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</si>
  <si>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</si>
  <si>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</si>
  <si>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</si>
  <si>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</si>
  <si>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</si>
  <si>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</si>
  <si>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</si>
  <si>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</si>
  <si>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</si>
  <si>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</si>
  <si>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</si>
  <si>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</si>
  <si>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</si>
  <si>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</si>
  <si>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</si>
  <si>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</si>
  <si>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</si>
  <si>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</si>
  <si>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</si>
  <si>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</si>
  <si>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</si>
  <si>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</si>
  <si>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</si>
  <si>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</si>
  <si>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</si>
  <si>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</si>
  <si>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</si>
  <si>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</si>
  <si>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</si>
  <si>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</si>
  <si>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</si>
  <si>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</si>
  <si>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</si>
  <si>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</si>
  <si>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</si>
  <si>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</si>
  <si>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</si>
  <si>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</si>
  <si>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</si>
  <si>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</si>
  <si>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</si>
  <si>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</si>
  <si>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</si>
  <si>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</si>
  <si>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</si>
  <si>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</si>
  <si>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</si>
  <si>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</si>
  <si>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</si>
  <si>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</si>
  <si>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</si>
  <si>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</si>
  <si>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</si>
  <si>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</si>
  <si>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</si>
  <si>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</si>
  <si>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</si>
  <si>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</si>
  <si>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</si>
  <si>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</si>
  <si>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</si>
  <si>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</si>
  <si>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</si>
  <si>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</si>
  <si>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</si>
  <si>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</si>
  <si>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</si>
  <si>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</si>
  <si>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</si>
  <si>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</si>
  <si>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</si>
  <si>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</si>
  <si>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</si>
  <si>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</si>
  <si>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</si>
  <si>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</si>
  <si>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</si>
  <si>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</si>
  <si>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</si>
  <si>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</si>
  <si>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</si>
  <si>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</si>
  <si>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</si>
  <si>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</si>
  <si>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</si>
  <si>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</si>
  <si>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</si>
  <si>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</si>
  <si>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</si>
  <si>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</si>
  <si>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</si>
  <si>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</si>
  <si>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</si>
  <si>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</si>
  <si>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</si>
  <si>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</si>
  <si>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</si>
  <si>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</si>
  <si>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</si>
  <si>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</si>
  <si>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</si>
  <si>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</si>
  <si>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</si>
  <si>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</si>
  <si>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</si>
  <si>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</si>
  <si>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</si>
  <si>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</si>
  <si>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</si>
  <si>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</si>
  <si>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</si>
  <si>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</si>
  <si>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</si>
  <si>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</si>
  <si>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</si>
  <si>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</si>
  <si>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</si>
  <si>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</si>
  <si>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</si>
  <si>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</si>
  <si>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</si>
  <si>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</si>
  <si>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</si>
  <si>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</si>
  <si>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</si>
  <si>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</si>
  <si>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</si>
  <si>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</si>
  <si>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</si>
  <si>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</si>
  <si>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</si>
  <si>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</si>
  <si>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</si>
  <si>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</si>
  <si>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</si>
  <si>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</si>
  <si>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</si>
  <si>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</si>
  <si>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</si>
  <si>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</si>
  <si>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</si>
  <si>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</si>
  <si>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</si>
  <si>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</si>
  <si>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</si>
  <si>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</si>
  <si>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</si>
  <si>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</si>
  <si>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</si>
  <si>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</si>
  <si>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</si>
  <si>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</si>
  <si>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</si>
  <si>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</si>
  <si>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</si>
  <si>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</si>
  <si>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</si>
  <si>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</si>
  <si>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</si>
  <si>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</si>
  <si>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</si>
  <si>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</si>
  <si>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</si>
  <si>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</si>
  <si>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</si>
  <si>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</si>
  <si>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</si>
  <si>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</si>
  <si>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</si>
  <si>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</si>
  <si>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</si>
  <si>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</si>
  <si>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</si>
  <si>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</si>
  <si>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</si>
  <si>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</si>
  <si>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</si>
  <si>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</si>
  <si>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</si>
  <si>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</si>
  <si>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</si>
  <si>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</si>
  <si>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</si>
  <si>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</si>
  <si>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</si>
  <si>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</si>
  <si>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</si>
  <si>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</si>
  <si>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</si>
  <si>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</si>
  <si>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</si>
  <si>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</si>
  <si>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</si>
  <si>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</si>
  <si>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</si>
  <si>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</si>
  <si>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</si>
  <si>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</si>
  <si>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</si>
  <si>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</si>
  <si>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</si>
  <si>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</si>
  <si>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</si>
  <si>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</si>
  <si>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</si>
  <si>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</si>
  <si>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</si>
  <si>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</si>
  <si>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</si>
  <si>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</si>
  <si>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</si>
  <si>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</si>
  <si>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</si>
  <si>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</si>
  <si>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</si>
  <si>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</si>
  <si>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</si>
  <si>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</si>
  <si>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</si>
  <si>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</si>
  <si>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</si>
  <si>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</si>
  <si>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</si>
  <si>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</si>
  <si>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</si>
  <si>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</si>
  <si>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</si>
  <si>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</si>
  <si>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</si>
  <si>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</si>
  <si>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</si>
  <si>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</si>
  <si>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</si>
  <si>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</si>
  <si>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</si>
  <si>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</si>
  <si>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</si>
  <si>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</si>
  <si>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</si>
  <si>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</si>
  <si>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</si>
  <si>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</si>
  <si>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</si>
  <si>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</si>
  <si>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</si>
  <si>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</si>
  <si>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</si>
  <si>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</si>
  <si>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</si>
  <si>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</si>
  <si>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</si>
  <si>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</si>
  <si>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</si>
  <si>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</si>
  <si>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</si>
  <si>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</si>
  <si>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</si>
  <si>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</si>
  <si>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</si>
  <si>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</si>
  <si>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</si>
  <si>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</si>
  <si>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</si>
  <si>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</si>
  <si>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</si>
  <si>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</si>
  <si>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</si>
  <si>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</si>
  <si>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</si>
  <si>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</si>
  <si>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</si>
  <si>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</si>
  <si>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</si>
  <si>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</si>
  <si>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</si>
  <si>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</si>
  <si>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</si>
  <si>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</si>
  <si>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</si>
  <si>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</si>
  <si>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</si>
  <si>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</si>
  <si>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</si>
  <si>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</si>
  <si>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</si>
  <si>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</si>
  <si>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</si>
  <si>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</si>
  <si>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</si>
  <si>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</si>
  <si>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</si>
  <si>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</si>
  <si>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</si>
  <si>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</si>
  <si>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</si>
  <si>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</si>
  <si>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</si>
  <si>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</si>
  <si>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</si>
  <si>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</si>
  <si>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</si>
  <si>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</si>
  <si>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</si>
  <si>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</si>
  <si>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</si>
  <si>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</si>
  <si>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</si>
  <si>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</si>
  <si>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</si>
  <si>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</si>
  <si>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</si>
  <si>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</si>
  <si>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</si>
  <si>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</si>
  <si>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</si>
  <si>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</si>
  <si>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</si>
  <si>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</si>
  <si>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</si>
  <si>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</si>
  <si>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</si>
  <si>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</si>
  <si>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</si>
  <si>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</si>
  <si>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</si>
  <si>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</si>
  <si>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</si>
  <si>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</si>
  <si>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</si>
  <si>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</si>
  <si>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</si>
  <si>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</si>
  <si>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</si>
  <si>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</si>
  <si>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</si>
  <si>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</si>
  <si>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</si>
  <si>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</si>
  <si>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</si>
  <si>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</si>
  <si>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</si>
  <si>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</si>
  <si>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</si>
  <si>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</si>
  <si>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</si>
  <si>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</si>
  <si>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</si>
  <si>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</si>
  <si>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</si>
  <si>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</si>
  <si>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</si>
  <si>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</si>
  <si>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</si>
  <si>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</si>
  <si>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</si>
  <si>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</si>
  <si>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</si>
  <si>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</si>
  <si>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</si>
  <si>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</si>
  <si>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</si>
  <si>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</si>
  <si>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</si>
  <si>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</si>
  <si>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</si>
  <si>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</si>
  <si>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</si>
  <si>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</si>
  <si>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</si>
  <si>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</si>
  <si>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</si>
  <si>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</si>
  <si>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</si>
  <si>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</si>
  <si>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</si>
  <si>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</si>
  <si>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</si>
  <si>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</si>
  <si>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</si>
  <si>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</si>
  <si>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</si>
  <si>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</si>
  <si>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</si>
  <si>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</si>
  <si>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</si>
  <si>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</si>
  <si>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</si>
  <si>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</si>
  <si>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</si>
  <si>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</si>
  <si>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</si>
  <si>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</si>
  <si>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</si>
  <si>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</si>
  <si>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</si>
  <si>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</si>
  <si>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</si>
  <si>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</si>
  <si>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</si>
  <si>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</si>
  <si>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</si>
  <si>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</si>
  <si>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</si>
  <si>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</si>
  <si>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</si>
  <si>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</si>
  <si>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</si>
  <si>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</si>
  <si>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</si>
  <si>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</si>
  <si>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</si>
  <si>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</si>
  <si>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</si>
  <si>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</si>
  <si>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</si>
  <si>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</si>
  <si>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</si>
  <si>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</si>
  <si>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</si>
  <si>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</si>
  <si>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</si>
  <si>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</si>
  <si>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</si>
  <si>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</si>
  <si>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</si>
  <si>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</si>
  <si>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</si>
  <si>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</si>
  <si>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</si>
  <si>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</si>
  <si>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</si>
  <si>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</si>
  <si>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</si>
  <si>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</si>
  <si>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</si>
  <si>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</si>
  <si>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</si>
  <si>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</si>
  <si>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</si>
  <si>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</si>
  <si>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</si>
  <si>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</si>
  <si>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</si>
  <si>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</si>
  <si>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</si>
  <si>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</si>
  <si>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</si>
  <si>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</si>
  <si>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</si>
  <si>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</si>
  <si>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</si>
  <si>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</si>
  <si>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</si>
  <si>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</si>
  <si>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</si>
  <si>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</si>
  <si>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</si>
  <si>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</si>
  <si>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</si>
  <si>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</si>
  <si>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</si>
  <si>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</si>
  <si>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</si>
  <si>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</si>
  <si>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</si>
  <si>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</si>
  <si>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</si>
  <si>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</si>
  <si>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</si>
  <si>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</si>
  <si>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</si>
  <si>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</si>
  <si>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</si>
  <si>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</si>
  <si>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</si>
  <si>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</si>
  <si>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</si>
  <si>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</si>
  <si>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</si>
  <si>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</si>
  <si>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</si>
  <si>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</si>
  <si>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</si>
  <si>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</si>
  <si>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</si>
  <si>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</si>
  <si>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</si>
  <si>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</si>
  <si>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</si>
  <si>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</si>
  <si>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</si>
  <si>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</si>
  <si>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</si>
  <si>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</si>
  <si>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</si>
  <si>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</si>
  <si>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</si>
  <si>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</si>
  <si>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</si>
  <si>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</si>
  <si>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</si>
  <si>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</si>
  <si>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</si>
  <si>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</si>
  <si>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</si>
  <si>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</si>
  <si>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</si>
  <si>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</si>
  <si>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</si>
  <si>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</si>
  <si>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</si>
  <si>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</si>
  <si>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</si>
  <si>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</si>
  <si>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</si>
  <si>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</si>
  <si>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</si>
  <si>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</si>
  <si>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</si>
  <si>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</si>
  <si>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</si>
  <si>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</si>
  <si>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</si>
  <si>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</si>
  <si>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</si>
  <si>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</si>
  <si>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</si>
  <si>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</si>
  <si>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</si>
  <si>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</si>
  <si>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</si>
  <si>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</si>
  <si>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</si>
  <si>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</si>
  <si>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</si>
  <si>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</si>
  <si>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</si>
  <si>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</si>
  <si>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</si>
  <si>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</si>
  <si>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</si>
  <si>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</si>
  <si>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</si>
  <si>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</si>
  <si>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</si>
  <si>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</si>
  <si>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</si>
  <si>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</si>
  <si>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</si>
  <si>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</si>
  <si>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</si>
  <si>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</si>
  <si>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</si>
  <si>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</si>
  <si>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</si>
  <si>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</si>
  <si>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</si>
  <si>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</si>
  <si>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</si>
  <si>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</si>
  <si>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</si>
  <si>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</si>
  <si>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</si>
  <si>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</si>
  <si>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</si>
  <si>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</si>
  <si>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</si>
  <si>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</si>
  <si>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</si>
  <si>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</si>
  <si>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</si>
  <si>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</si>
  <si>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</si>
  <si>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</si>
  <si>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</si>
  <si>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</si>
  <si>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</si>
  <si>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</si>
  <si>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</si>
  <si>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</si>
  <si>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</si>
  <si>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</si>
  <si>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</si>
  <si>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</si>
  <si>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</si>
  <si>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</si>
  <si>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</si>
  <si>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</si>
  <si>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</si>
  <si>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</si>
  <si>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</si>
  <si>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</si>
  <si>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</si>
  <si>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</si>
  <si>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</si>
  <si>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</si>
  <si>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</si>
  <si>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</si>
  <si>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</si>
  <si>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</si>
  <si>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</si>
  <si>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</si>
  <si>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</si>
  <si>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</si>
  <si>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</si>
  <si>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</si>
  <si>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</si>
  <si>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</si>
  <si>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</si>
  <si>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</si>
  <si>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</si>
  <si>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</si>
  <si>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</si>
  <si>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</si>
  <si>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</si>
  <si>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</si>
  <si>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</si>
  <si>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</si>
  <si>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</si>
  <si>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</si>
  <si>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</si>
  <si>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</si>
  <si>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</si>
  <si>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</si>
  <si>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</si>
  <si>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</si>
  <si>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</si>
  <si>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</si>
  <si>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</si>
  <si>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</si>
  <si>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</si>
  <si>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</si>
  <si>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</si>
  <si>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</si>
  <si>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</si>
  <si>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</si>
  <si>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</si>
  <si>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</si>
  <si>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</si>
  <si>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</si>
  <si>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</si>
  <si>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</si>
  <si>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</si>
  <si>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</si>
  <si>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</si>
  <si>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</si>
  <si>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</si>
  <si>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</si>
  <si>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</si>
  <si>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</si>
  <si>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</si>
  <si>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</si>
  <si>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</si>
  <si>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</si>
  <si>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</si>
  <si>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</si>
  <si>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</si>
  <si>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</si>
  <si>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</si>
  <si>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</si>
  <si>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</si>
  <si>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</si>
  <si>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</si>
  <si>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</si>
  <si>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</si>
  <si>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</si>
  <si>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</si>
  <si>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</si>
  <si>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</si>
  <si>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</si>
  <si>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</si>
  <si>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</si>
  <si>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</si>
  <si>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</si>
  <si>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</si>
  <si>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</si>
  <si>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</si>
  <si>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</si>
  <si>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</si>
  <si>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</si>
  <si>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</si>
  <si>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</si>
  <si>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</si>
  <si>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</si>
  <si>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</si>
  <si>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</si>
  <si>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</si>
  <si>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</si>
  <si>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</si>
  <si>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</si>
  <si>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</si>
  <si>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</si>
  <si>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</si>
  <si>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</si>
  <si>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</si>
  <si>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</si>
  <si>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</si>
  <si>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</si>
  <si>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</si>
  <si>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</si>
  <si>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</si>
  <si>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</si>
  <si>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</si>
  <si>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</si>
  <si>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</si>
  <si>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</si>
  <si>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</si>
  <si>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</si>
  <si>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</si>
  <si>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</si>
  <si>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</si>
  <si>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</si>
  <si>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</si>
  <si>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</si>
  <si>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</si>
  <si>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</si>
  <si>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</si>
  <si>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</si>
  <si>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</si>
  <si>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</si>
  <si>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</si>
  <si>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</si>
  <si>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</si>
  <si>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</si>
  <si>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</si>
  <si>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</si>
  <si>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</si>
  <si>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</si>
  <si>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</si>
  <si>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</si>
  <si>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</si>
  <si>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</si>
  <si>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</si>
  <si>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</si>
  <si>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</si>
  <si>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</si>
  <si>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</si>
  <si>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</si>
  <si>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</si>
  <si>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</si>
  <si>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</si>
  <si>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</si>
  <si>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</si>
  <si>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</si>
  <si>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</si>
  <si>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</si>
  <si>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</si>
  <si>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</si>
  <si>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</si>
  <si>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</si>
  <si>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</si>
  <si>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</si>
  <si>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</si>
  <si>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</si>
  <si>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</si>
  <si>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</si>
  <si>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</si>
  <si>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</si>
  <si>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</si>
  <si>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</si>
  <si>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</si>
  <si>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</si>
  <si>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</si>
  <si>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</si>
  <si>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</si>
  <si>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</si>
  <si>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</si>
  <si>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</si>
  <si>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</si>
  <si>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</si>
  <si>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</si>
  <si>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</si>
  <si>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</si>
  <si>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</si>
  <si>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</si>
  <si>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</si>
  <si>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</si>
  <si>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</si>
  <si>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</si>
  <si>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</si>
  <si>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</si>
  <si>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</si>
  <si>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</si>
  <si>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</si>
  <si>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</si>
  <si>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</si>
  <si>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</si>
  <si>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</si>
  <si>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</si>
  <si>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</si>
  <si>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</si>
  <si>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</si>
  <si>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</si>
  <si>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</si>
  <si>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</si>
  <si>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</si>
  <si>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</si>
  <si>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</si>
  <si>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</si>
  <si>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</si>
  <si>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</si>
  <si>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</si>
  <si>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</si>
  <si>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</si>
  <si>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</si>
  <si>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</si>
  <si>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</si>
  <si>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</si>
  <si>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</si>
  <si>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</si>
  <si>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</si>
  <si>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</si>
  <si>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</si>
  <si>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</si>
  <si>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</si>
  <si>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</si>
  <si>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</si>
  <si>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</si>
  <si>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</si>
  <si>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</si>
  <si>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</si>
  <si>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</si>
  <si>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</si>
  <si>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</si>
  <si>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</si>
  <si>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</si>
  <si>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</si>
  <si>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</si>
  <si>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</si>
  <si>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</si>
  <si>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</si>
  <si>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</si>
  <si>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</si>
  <si>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</si>
  <si>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</si>
  <si>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</si>
  <si>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</si>
  <si>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</si>
  <si>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</si>
  <si>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</si>
  <si>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</si>
  <si>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</si>
  <si>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</si>
  <si>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</si>
  <si>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</si>
  <si>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</si>
  <si>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</si>
  <si>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</si>
  <si>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</si>
  <si>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</si>
  <si>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</si>
  <si>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</si>
  <si>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</si>
  <si>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</si>
  <si>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</si>
  <si>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</si>
  <si>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</si>
  <si>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</si>
  <si>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</si>
  <si>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</si>
  <si>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</si>
  <si>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</si>
  <si>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</si>
  <si>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</si>
  <si>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</si>
  <si>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</si>
  <si>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</si>
  <si>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</si>
  <si>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</si>
  <si>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</si>
  <si>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</si>
  <si>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</si>
  <si>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</si>
  <si>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</si>
  <si>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</si>
  <si>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</si>
  <si>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</si>
  <si>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</si>
  <si>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</si>
  <si>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</si>
  <si>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</si>
  <si>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</si>
  <si>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</si>
  <si>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</si>
  <si>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</si>
  <si>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</si>
  <si>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</si>
  <si>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</si>
  <si>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</si>
  <si>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</si>
  <si>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</si>
  <si>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</si>
  <si>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</si>
  <si>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</si>
  <si>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</si>
  <si>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</si>
  <si>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</si>
  <si>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</si>
  <si>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</si>
  <si>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</si>
  <si>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</si>
  <si>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</si>
  <si>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</si>
  <si>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</si>
  <si>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</si>
  <si>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</si>
  <si>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</si>
  <si>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</si>
  <si>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</si>
  <si>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</si>
  <si>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</si>
  <si>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</si>
  <si>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</si>
  <si>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</si>
  <si>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</si>
  <si>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</si>
  <si>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</si>
  <si>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</si>
  <si>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</si>
  <si>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</si>
  <si>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</si>
  <si>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</si>
  <si>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</si>
  <si>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</si>
  <si>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</si>
  <si>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</si>
  <si>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</si>
  <si>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</si>
  <si>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</si>
  <si>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</si>
  <si>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</si>
  <si>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</si>
  <si>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</si>
  <si>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</si>
  <si>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</si>
  <si>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</si>
  <si>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</si>
  <si>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</si>
  <si>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</si>
  <si>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</si>
  <si>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</si>
  <si>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</si>
  <si>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</si>
  <si>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</si>
  <si>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</si>
  <si>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</si>
  <si>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</si>
  <si>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</si>
  <si>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</si>
  <si>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</si>
  <si>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</si>
  <si>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</si>
  <si>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</si>
  <si>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</si>
  <si>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</si>
  <si>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</si>
  <si>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</si>
  <si>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</si>
  <si>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</si>
  <si>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</si>
  <si>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</si>
  <si>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</si>
  <si>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</si>
  <si>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</si>
  <si>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</si>
  <si>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</si>
  <si>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</si>
  <si>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</si>
  <si>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</si>
  <si>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</si>
  <si>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</si>
  <si>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</si>
  <si>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</si>
  <si>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</si>
  <si>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</si>
  <si>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</si>
  <si>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</si>
  <si>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</si>
  <si>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</si>
  <si>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</si>
  <si>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</si>
  <si>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</si>
  <si>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</si>
  <si>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</si>
  <si>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</si>
  <si>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</si>
  <si>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</si>
  <si>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</si>
  <si>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</si>
  <si>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</si>
  <si>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</si>
  <si>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</si>
  <si>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</si>
  <si>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</si>
  <si>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</si>
  <si>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</si>
  <si>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</si>
  <si>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</si>
  <si>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</si>
  <si>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</si>
  <si>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</si>
  <si>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</si>
  <si>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</si>
  <si>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</si>
  <si>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</si>
  <si>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</si>
  <si>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</si>
  <si>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</si>
  <si>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</si>
  <si>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</si>
  <si>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</si>
  <si>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</si>
  <si>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</si>
  <si>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</si>
  <si>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</si>
  <si>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</si>
  <si>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</si>
  <si>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</si>
  <si>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</si>
  <si>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</si>
  <si>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</si>
  <si>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</si>
  <si>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</si>
  <si>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</si>
  <si>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</si>
  <si>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</si>
  <si>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</si>
  <si>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</si>
  <si>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</si>
  <si>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</si>
  <si>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</si>
  <si>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</si>
  <si>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</si>
  <si>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</si>
  <si>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</si>
  <si>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</si>
  <si>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</si>
  <si>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</si>
  <si>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</si>
  <si>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</si>
  <si>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</si>
  <si>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</si>
  <si>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</si>
  <si>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</si>
  <si>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</si>
  <si>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</si>
  <si>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</si>
  <si>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</si>
  <si>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</si>
  <si>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</si>
  <si>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</si>
  <si>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</si>
  <si>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</si>
  <si>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</si>
  <si>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</si>
  <si>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</si>
  <si>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</si>
  <si>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</si>
  <si>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</si>
  <si>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</si>
  <si>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</si>
  <si>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</si>
  <si>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</si>
  <si>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</si>
  <si>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</si>
  <si>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</si>
  <si>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</si>
  <si>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</si>
  <si>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</si>
  <si>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</si>
  <si>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</si>
  <si>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</si>
  <si>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</si>
  <si>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</si>
  <si>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</si>
  <si>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</si>
  <si>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</si>
  <si>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</si>
  <si>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</si>
  <si>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</si>
  <si>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</si>
  <si>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</si>
  <si>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</si>
  <si>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</si>
  <si>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</si>
  <si>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</si>
  <si>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</si>
  <si>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</si>
  <si>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</si>
  <si>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</si>
  <si>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</si>
  <si>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</si>
  <si>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</si>
  <si>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</si>
  <si>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</si>
  <si>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</si>
  <si>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</si>
  <si>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</si>
  <si>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</si>
  <si>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</si>
  <si>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</si>
  <si>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</si>
  <si>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</si>
  <si>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</si>
  <si>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</si>
  <si>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</si>
  <si>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</si>
  <si>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</si>
  <si>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</si>
  <si>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</si>
  <si>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</si>
  <si>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</si>
  <si>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</si>
  <si>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</si>
  <si>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</si>
  <si>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</si>
  <si>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</si>
  <si>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</si>
  <si>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</si>
  <si>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</si>
  <si>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</si>
  <si>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</si>
  <si>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</si>
  <si>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</si>
  <si>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</si>
  <si>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</si>
  <si>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</si>
  <si>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</si>
  <si>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</si>
  <si>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</si>
  <si>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</si>
  <si>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</si>
  <si>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</si>
  <si>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</si>
  <si>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</si>
  <si>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</si>
  <si>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</si>
  <si>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</si>
  <si>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</si>
  <si>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</si>
  <si>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</si>
  <si>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</si>
  <si>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</si>
  <si>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</si>
  <si>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</si>
  <si>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</si>
  <si>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</si>
  <si>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</si>
  <si>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</si>
  <si>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</si>
  <si>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</si>
  <si>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</si>
  <si>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</si>
  <si>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</si>
  <si>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</si>
  <si>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</si>
  <si>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</si>
  <si>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</si>
  <si>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</si>
  <si>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</si>
  <si>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</si>
  <si>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</si>
  <si>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</si>
  <si>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</si>
  <si>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</si>
  <si>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</si>
  <si>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</si>
  <si>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</si>
  <si>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</si>
  <si>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</si>
  <si>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</si>
  <si>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</si>
  <si>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</si>
  <si>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</si>
  <si>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</si>
  <si>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</si>
  <si>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</si>
  <si>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</si>
  <si>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</si>
  <si>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</si>
  <si>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</si>
  <si>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</si>
  <si>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</si>
  <si>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</si>
  <si>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</si>
  <si>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</si>
  <si>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</si>
  <si>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</si>
  <si>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</si>
  <si>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</si>
  <si>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</si>
  <si>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</si>
  <si>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</si>
  <si>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</si>
  <si>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</si>
  <si>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</si>
  <si>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</si>
  <si>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</si>
  <si>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</si>
  <si>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</si>
  <si>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</si>
  <si>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</si>
  <si>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</si>
  <si>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</si>
  <si>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</si>
  <si>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</si>
  <si>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</si>
  <si>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</si>
  <si>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</si>
  <si>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</si>
  <si>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</si>
  <si>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</si>
  <si>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</si>
  <si>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</si>
  <si>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</si>
  <si>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</si>
  <si>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</si>
  <si>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</si>
  <si>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</si>
  <si>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</si>
  <si>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</si>
  <si>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</si>
  <si>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</si>
  <si>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</si>
  <si>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</si>
  <si>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</si>
  <si>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</si>
  <si>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</si>
  <si>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</si>
  <si>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</si>
  <si>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</si>
  <si>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</si>
  <si>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</si>
  <si>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</si>
  <si>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</si>
  <si>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</si>
  <si>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</si>
  <si>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</si>
  <si>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</si>
  <si>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</si>
  <si>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</si>
  <si>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</si>
  <si>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</si>
  <si>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</si>
  <si>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</si>
  <si>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</si>
  <si>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</si>
  <si>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</si>
  <si>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</si>
  <si>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</si>
  <si>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</si>
  <si>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</si>
  <si>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</si>
  <si>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</si>
  <si>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</si>
  <si>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</si>
  <si>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</si>
  <si>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</si>
  <si>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</si>
  <si>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</si>
  <si>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</si>
  <si>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</si>
  <si>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</si>
  <si>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</si>
  <si>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</si>
  <si>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</si>
  <si>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</si>
  <si>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</si>
  <si>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</si>
  <si>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</si>
  <si>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</si>
  <si>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</si>
  <si>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</si>
  <si>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</si>
  <si>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</si>
  <si>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</si>
  <si>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</si>
  <si>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</si>
  <si>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</si>
  <si>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</si>
  <si>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</si>
  <si>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</si>
  <si>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</si>
  <si>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</si>
  <si>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</si>
  <si>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</si>
  <si>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</si>
  <si>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</si>
  <si>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</si>
  <si>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</si>
  <si>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</si>
  <si>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</si>
  <si>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</si>
  <si>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</si>
  <si>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</si>
  <si>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</si>
  <si>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</si>
  <si>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</si>
  <si>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</si>
  <si>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</si>
  <si>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</si>
  <si>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</si>
  <si>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</si>
  <si>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</si>
  <si>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</si>
  <si>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</si>
  <si>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</si>
  <si>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</si>
  <si>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</si>
  <si>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</si>
  <si>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</si>
  <si>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</si>
  <si>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</si>
  <si>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</si>
  <si>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</si>
  <si>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</si>
  <si>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</si>
  <si>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</si>
  <si>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</si>
  <si>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</si>
  <si>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</si>
  <si>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</si>
  <si>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</si>
  <si>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</si>
  <si>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</si>
  <si>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</si>
  <si>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</si>
  <si>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</si>
  <si>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</si>
  <si>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</si>
  <si>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</si>
  <si>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</si>
  <si>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</si>
  <si>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</si>
  <si>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</si>
  <si>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</si>
  <si>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</si>
  <si>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</si>
  <si>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</si>
  <si>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</si>
  <si>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</si>
  <si>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</si>
  <si>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</si>
  <si>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</si>
  <si>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</si>
  <si>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</si>
  <si>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</si>
  <si>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</si>
  <si>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</si>
  <si>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</si>
  <si>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</si>
  <si>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</si>
  <si>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</si>
  <si>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</si>
  <si>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</si>
  <si>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</si>
  <si>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</si>
  <si>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</si>
  <si>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</si>
  <si>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</si>
  <si>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</si>
  <si>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</si>
  <si>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</si>
  <si>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</si>
  <si>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</si>
  <si>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</si>
  <si>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</si>
  <si>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</si>
  <si>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</si>
  <si>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</si>
  <si>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</si>
  <si>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</si>
  <si>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</si>
  <si>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</si>
  <si>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</si>
  <si>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</si>
  <si>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</si>
  <si>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</si>
  <si>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</si>
  <si>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</si>
  <si>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</si>
  <si>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</si>
  <si>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</si>
  <si>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</si>
  <si>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</si>
  <si>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</si>
  <si>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</si>
  <si>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</si>
  <si>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</si>
  <si>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</si>
  <si>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</si>
  <si>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</si>
  <si>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</si>
  <si>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</si>
  <si>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</si>
  <si>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</si>
  <si>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</si>
  <si>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</si>
  <si>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</si>
  <si>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</si>
  <si>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</si>
  <si>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</si>
  <si>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</si>
  <si>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</si>
  <si>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</si>
  <si>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</si>
  <si>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</si>
  <si>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</si>
  <si>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</si>
  <si>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</si>
  <si>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</si>
  <si>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</si>
  <si>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</si>
  <si>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</si>
  <si>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</si>
  <si>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</si>
  <si>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</si>
  <si>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</si>
  <si>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</si>
  <si>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</si>
  <si>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</si>
  <si>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</si>
  <si>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</si>
  <si>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</si>
  <si>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</si>
  <si>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</si>
  <si>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</si>
  <si>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</si>
  <si>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</si>
  <si>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</si>
  <si>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</si>
  <si>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</si>
  <si>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</si>
  <si>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</si>
  <si>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</si>
  <si>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</si>
  <si>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</si>
  <si>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</si>
  <si>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</si>
  <si>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</si>
  <si>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</si>
  <si>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</si>
  <si>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</si>
  <si>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</si>
  <si>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</si>
  <si>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</si>
  <si>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</si>
  <si>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</si>
  <si>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</si>
  <si>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</si>
  <si>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</si>
  <si>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</si>
  <si>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</si>
  <si>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</si>
  <si>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</si>
  <si>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</si>
  <si>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</si>
  <si>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</si>
  <si>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</si>
  <si>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</si>
  <si>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</si>
  <si>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</si>
  <si>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</si>
  <si>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</si>
  <si>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</si>
  <si>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</si>
  <si>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</si>
  <si>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</si>
  <si>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</si>
  <si>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</si>
  <si>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</si>
  <si>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</si>
  <si>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</si>
  <si>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</si>
  <si>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</si>
  <si>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</si>
  <si>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</si>
  <si>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</si>
  <si>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</si>
  <si>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</si>
  <si>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</si>
  <si>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</si>
  <si>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</si>
  <si>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</si>
  <si>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</si>
  <si>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</si>
  <si>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</si>
  <si>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</si>
  <si>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</si>
  <si>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</si>
  <si>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</si>
  <si>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</si>
  <si>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</si>
  <si>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</si>
  <si>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</si>
  <si>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</si>
  <si>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</si>
  <si>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</si>
  <si>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</si>
  <si>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</si>
  <si>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</si>
  <si>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</si>
  <si>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</si>
  <si>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</si>
  <si>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</si>
  <si>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</si>
  <si>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</si>
  <si>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</si>
  <si>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</si>
  <si>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</si>
  <si>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</si>
  <si>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</si>
  <si>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</si>
  <si>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</si>
  <si>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</si>
  <si>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</si>
  <si>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</si>
  <si>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</si>
  <si>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</si>
  <si>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</si>
  <si>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</si>
  <si>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</si>
  <si>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</si>
  <si>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</si>
  <si>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</si>
  <si>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</si>
  <si>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</si>
  <si>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</si>
  <si>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</si>
  <si>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</si>
  <si>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</si>
  <si>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</si>
  <si>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</si>
  <si>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</si>
  <si>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</si>
  <si>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</si>
  <si>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</si>
  <si>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</si>
  <si>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</si>
  <si>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</si>
  <si>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</si>
  <si>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</si>
  <si>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</si>
  <si>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</si>
  <si>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</si>
  <si>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</si>
  <si>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</si>
  <si>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</si>
  <si>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</si>
  <si>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</si>
  <si>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</si>
  <si>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</si>
  <si>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</si>
  <si>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</si>
  <si>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</si>
  <si>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</si>
  <si>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</si>
  <si>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</si>
  <si>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</si>
  <si>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</si>
  <si>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</si>
  <si>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</si>
  <si>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</si>
  <si>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</si>
  <si>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</si>
  <si>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</si>
  <si>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</si>
  <si>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</si>
  <si>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</si>
  <si>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</si>
  <si>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</si>
  <si>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</si>
  <si>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</si>
  <si>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</si>
  <si>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</si>
  <si>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</si>
  <si>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</si>
  <si>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</si>
  <si>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</si>
  <si>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</si>
  <si>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</si>
  <si>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</si>
  <si>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</si>
  <si>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</si>
  <si>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</si>
  <si>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</si>
  <si>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</si>
  <si>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</si>
  <si>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</si>
  <si>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</si>
  <si>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</si>
  <si>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</si>
  <si>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</si>
  <si>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</si>
  <si>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</si>
  <si>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</si>
  <si>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</si>
  <si>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</si>
  <si>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</si>
  <si>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</si>
  <si>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</si>
  <si>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</si>
  <si>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</si>
  <si>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</si>
  <si>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</si>
  <si>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</si>
  <si>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</si>
  <si>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</si>
  <si>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</si>
  <si>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</si>
  <si>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</si>
  <si>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</si>
  <si>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</si>
  <si>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</si>
  <si>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</si>
  <si>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</si>
  <si>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</si>
  <si>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</si>
  <si>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</si>
  <si>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</si>
  <si>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</si>
  <si>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</si>
  <si>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</si>
  <si>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</si>
  <si>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</si>
  <si>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</si>
  <si>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</si>
  <si>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</si>
  <si>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</si>
  <si>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</si>
  <si>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</si>
  <si>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</si>
  <si>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</si>
  <si>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</si>
  <si>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</si>
  <si>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</si>
  <si>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</si>
  <si>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</si>
  <si>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</si>
  <si>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</si>
  <si>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</si>
  <si>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</si>
  <si>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</si>
  <si>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</si>
  <si>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</si>
  <si>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</si>
  <si>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</si>
  <si>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</si>
  <si>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</si>
  <si>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</si>
  <si>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</si>
  <si>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</si>
  <si>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</si>
  <si>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</si>
  <si>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</si>
  <si>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</si>
  <si>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</si>
  <si>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</si>
  <si>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</si>
  <si>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</si>
  <si>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</si>
  <si>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</si>
  <si>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</si>
  <si>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</si>
  <si>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</si>
  <si>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</si>
  <si>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</si>
  <si>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</si>
  <si>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</si>
  <si>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</si>
  <si>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</si>
  <si>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</si>
  <si>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</si>
  <si>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</si>
  <si>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</si>
  <si>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</si>
  <si>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</si>
  <si>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</si>
  <si>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</si>
  <si>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</si>
  <si>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</si>
  <si>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</si>
  <si>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</si>
  <si>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</si>
  <si>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</si>
  <si>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</si>
  <si>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</si>
  <si>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</si>
  <si>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</si>
  <si>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</si>
  <si>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</si>
  <si>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</si>
  <si>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</si>
  <si>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</si>
  <si>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</si>
  <si>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</si>
  <si>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</si>
  <si>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</si>
  <si>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</si>
  <si>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</si>
  <si>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</si>
  <si>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</si>
  <si>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</si>
  <si>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</si>
  <si>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</si>
  <si>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</si>
  <si>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</si>
  <si>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</si>
  <si>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</si>
  <si>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</si>
  <si>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</si>
  <si>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</si>
  <si>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</si>
  <si>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</si>
  <si>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</si>
  <si>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</si>
  <si>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</si>
  <si>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</si>
  <si>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</si>
  <si>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</si>
  <si>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</si>
  <si>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</si>
  <si>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</si>
  <si>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</si>
  <si>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</si>
  <si>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</si>
  <si>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</si>
  <si>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</si>
  <si>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</si>
  <si>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</si>
  <si>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</si>
  <si>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</si>
  <si>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</si>
  <si>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</si>
  <si>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</si>
  <si>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</si>
  <si>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</si>
  <si>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</si>
  <si>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</si>
  <si>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</si>
  <si>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</si>
  <si>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</si>
  <si>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</si>
  <si>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</si>
  <si>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</si>
  <si>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</si>
  <si>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</si>
  <si>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</si>
  <si>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</si>
  <si>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</si>
  <si>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</si>
  <si>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</si>
  <si>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</si>
  <si>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</si>
  <si>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</si>
  <si>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</si>
  <si>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</si>
  <si>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</si>
  <si>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</si>
  <si>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</si>
  <si>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</si>
  <si>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</si>
  <si>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</si>
  <si>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</si>
  <si>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</si>
  <si>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</si>
  <si>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</si>
  <si>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</si>
  <si>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</si>
  <si>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</si>
  <si>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</si>
  <si>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</si>
  <si>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</si>
  <si>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</si>
  <si>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</si>
  <si>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</si>
  <si>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</si>
  <si>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</si>
  <si>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</si>
  <si>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</si>
  <si>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</si>
  <si>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</si>
  <si>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</si>
  <si>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</si>
  <si>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</si>
  <si>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</si>
  <si>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</si>
  <si>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</si>
  <si>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</si>
  <si>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</si>
  <si>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</si>
  <si>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</si>
  <si>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</si>
  <si>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</si>
  <si>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</si>
  <si>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</si>
  <si>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</si>
  <si>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</si>
  <si>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</si>
  <si>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</si>
  <si>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</si>
  <si>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</si>
  <si>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</si>
  <si>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</si>
  <si>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</si>
  <si>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</si>
  <si>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</si>
  <si>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</si>
  <si>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</si>
  <si>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</si>
  <si>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</si>
  <si>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</si>
  <si>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</si>
  <si>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</si>
  <si>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</si>
  <si>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</si>
  <si>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</si>
  <si>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</si>
  <si>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</si>
  <si>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</si>
  <si>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</si>
  <si>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</si>
  <si>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</si>
  <si>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</si>
  <si>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</si>
  <si>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</si>
  <si>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</si>
  <si>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</si>
  <si>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</si>
  <si>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</si>
  <si>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</si>
  <si>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</si>
  <si>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</si>
  <si>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</si>
  <si>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</si>
  <si>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</si>
  <si>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</si>
  <si>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</si>
  <si>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</si>
  <si>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</si>
  <si>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</si>
  <si>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</si>
  <si>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</si>
  <si>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</si>
  <si>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</si>
  <si>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</si>
  <si>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</si>
  <si>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</si>
  <si>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</si>
  <si>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</si>
  <si>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</si>
  <si>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</si>
  <si>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</si>
  <si>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</si>
  <si>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</si>
  <si>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</si>
  <si>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</si>
  <si>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</si>
  <si>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</si>
  <si>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</si>
  <si>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</si>
  <si>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</si>
  <si>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</si>
  <si>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</si>
  <si>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</si>
  <si>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</si>
  <si>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</si>
  <si>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</si>
  <si>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</si>
  <si>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</si>
  <si>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</si>
  <si>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</si>
  <si>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</si>
  <si>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</si>
  <si>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</si>
  <si>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</si>
  <si>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</si>
  <si>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</si>
  <si>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</si>
  <si>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</si>
  <si>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</si>
  <si>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</si>
  <si>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</si>
  <si>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</si>
  <si>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</si>
  <si>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</si>
  <si>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</si>
  <si>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</si>
  <si>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</si>
  <si>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</si>
  <si>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</si>
  <si>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</si>
  <si>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</si>
  <si>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</si>
  <si>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</si>
  <si>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</si>
  <si>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</si>
  <si>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</si>
  <si>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</si>
  <si>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</si>
  <si>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</si>
  <si>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</si>
  <si>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</si>
  <si>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</si>
  <si>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</si>
  <si>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</si>
  <si>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</si>
  <si>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</si>
  <si>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</si>
  <si>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</si>
  <si>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</si>
  <si>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</si>
  <si>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</si>
  <si>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</si>
  <si>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</si>
  <si>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</si>
  <si>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</si>
  <si>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</si>
  <si>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</si>
  <si>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</si>
  <si>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</si>
  <si>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</si>
  <si>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</si>
  <si>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</si>
  <si>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</si>
  <si>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</si>
  <si>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</si>
  <si>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</si>
  <si>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</si>
  <si>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</si>
  <si>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</si>
  <si>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</si>
  <si>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</si>
  <si>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</si>
  <si>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</si>
  <si>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</si>
  <si>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</si>
  <si>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</si>
  <si>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</si>
  <si>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</si>
  <si>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</si>
  <si>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</si>
  <si>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</si>
  <si>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</si>
  <si>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</si>
  <si>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</si>
  <si>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</si>
  <si>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</si>
  <si>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</si>
  <si>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</si>
  <si>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</si>
  <si>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</si>
  <si>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</si>
  <si>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</si>
  <si>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</si>
  <si>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</si>
  <si>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</si>
  <si>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</si>
  <si>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</si>
  <si>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</si>
  <si>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</si>
  <si>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</si>
  <si>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</si>
  <si>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</si>
  <si>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</si>
  <si>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</si>
  <si>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</si>
  <si>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</si>
  <si>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</si>
  <si>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</si>
  <si>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</si>
  <si>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</si>
  <si>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</si>
  <si>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</si>
  <si>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</si>
  <si>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</si>
  <si>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</si>
  <si>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</si>
  <si>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</si>
  <si>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</si>
  <si>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</si>
  <si>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</si>
  <si>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</si>
  <si>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</si>
  <si>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</si>
  <si>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</si>
  <si>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</si>
  <si>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</si>
  <si>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</si>
  <si>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</si>
  <si>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</si>
  <si>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</si>
  <si>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</si>
  <si>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</si>
  <si>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</si>
  <si>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</si>
  <si>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</si>
  <si>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</si>
  <si>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</si>
  <si>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</si>
  <si>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</si>
  <si>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</si>
  <si>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</si>
  <si>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</si>
  <si>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</si>
  <si>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</si>
  <si>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</si>
  <si>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</si>
  <si>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</si>
  <si>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</si>
  <si>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</si>
  <si>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</si>
  <si>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</si>
  <si>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</si>
  <si>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</si>
  <si>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</si>
  <si>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</si>
  <si>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</si>
  <si>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</si>
  <si>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</si>
  <si>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</si>
  <si>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</si>
  <si>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</si>
  <si>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</si>
  <si>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</si>
  <si>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</si>
  <si>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</si>
  <si>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</si>
  <si>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</si>
  <si>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</si>
  <si>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</si>
  <si>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</si>
  <si>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</si>
  <si>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</si>
  <si>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</si>
  <si>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</si>
  <si>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</si>
  <si>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</si>
  <si>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</si>
  <si>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</si>
  <si>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</si>
  <si>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</si>
  <si>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</si>
  <si>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</si>
  <si>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</si>
  <si>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</si>
  <si>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</si>
  <si>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</si>
  <si>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</si>
  <si>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</si>
  <si>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</si>
  <si>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</si>
  <si>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</si>
  <si>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</si>
  <si>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</si>
  <si>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</si>
  <si>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</si>
  <si>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</si>
  <si>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</si>
  <si>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</si>
  <si>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</si>
  <si>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</si>
  <si>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</si>
  <si>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</si>
  <si>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</si>
  <si>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</si>
  <si>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</si>
  <si>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</si>
  <si>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</si>
  <si>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</si>
  <si>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</si>
  <si>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</si>
  <si>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</si>
  <si>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</si>
  <si>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</si>
  <si>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</si>
  <si>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</si>
  <si>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</si>
  <si>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</si>
  <si>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</si>
  <si>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</si>
  <si>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</si>
  <si>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</si>
  <si>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</si>
  <si>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</si>
  <si>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</si>
  <si>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</si>
  <si>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</si>
  <si>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</si>
  <si>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</si>
  <si>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</si>
  <si>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</si>
  <si>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</si>
  <si>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</si>
  <si>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</si>
  <si>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</si>
  <si>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</si>
  <si>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</si>
  <si>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</si>
  <si>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</si>
  <si>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</si>
  <si>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</si>
  <si>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</si>
  <si>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</si>
  <si>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</si>
  <si>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</si>
  <si>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</si>
  <si>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</si>
  <si>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</si>
  <si>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</si>
  <si>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</si>
  <si>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</si>
  <si>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</si>
  <si>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</si>
  <si>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</si>
  <si>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</si>
  <si>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</si>
  <si>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</si>
  <si>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</si>
  <si>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</si>
  <si>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</si>
  <si>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</si>
  <si>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</si>
  <si>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</si>
  <si>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</si>
  <si>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</si>
  <si>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</si>
  <si>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</si>
  <si>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</si>
  <si>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</si>
  <si>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</si>
  <si>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</si>
  <si>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</si>
  <si>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</si>
  <si>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</si>
  <si>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</si>
  <si>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</si>
  <si>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</si>
  <si>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</si>
  <si>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</si>
  <si>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</si>
  <si>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</si>
  <si>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</si>
  <si>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</si>
  <si>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</si>
  <si>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</si>
  <si>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</si>
  <si>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</si>
  <si>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</si>
  <si>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</si>
  <si>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</si>
  <si>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</si>
  <si>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</si>
  <si>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</si>
  <si>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</si>
  <si>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</si>
  <si>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</si>
  <si>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</si>
  <si>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</si>
  <si>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</si>
  <si>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</si>
  <si>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</si>
  <si>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</si>
  <si>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</si>
  <si>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</si>
  <si>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</si>
  <si>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</si>
  <si>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</si>
  <si>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</si>
  <si>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</si>
  <si>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</si>
  <si>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</si>
  <si>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</si>
  <si>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</si>
  <si>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</si>
  <si>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</si>
  <si>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</si>
  <si>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</si>
  <si>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</si>
  <si>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</si>
  <si>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</si>
  <si>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</si>
  <si>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</si>
  <si>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</si>
  <si>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</si>
  <si>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</si>
  <si>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</si>
  <si>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</si>
  <si>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</si>
  <si>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</si>
  <si>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</si>
  <si>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</si>
  <si>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</si>
  <si>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</si>
  <si>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</si>
  <si>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</si>
  <si>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</si>
  <si>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</si>
  <si>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</si>
  <si>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</si>
  <si>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</si>
  <si>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</si>
  <si>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</si>
  <si>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</si>
  <si>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</si>
  <si>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</si>
  <si>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</si>
  <si>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</si>
  <si>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</si>
  <si>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</si>
  <si>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</si>
  <si>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</si>
  <si>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</si>
  <si>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</si>
  <si>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</si>
  <si>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</si>
  <si>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</si>
  <si>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</si>
  <si>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</si>
  <si>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</si>
  <si>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</si>
  <si>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</si>
  <si>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</si>
  <si>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</si>
  <si>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</si>
  <si>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</si>
  <si>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</si>
  <si>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</si>
  <si>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</si>
  <si>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</si>
  <si>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</si>
  <si>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</si>
  <si>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</si>
  <si>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</si>
  <si>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</si>
  <si>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</si>
  <si>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</si>
  <si>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</si>
  <si>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</si>
  <si>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</si>
  <si>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</si>
  <si>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</si>
  <si>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</si>
  <si>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</si>
  <si>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</si>
  <si>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</si>
  <si>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</si>
  <si>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</si>
  <si>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</si>
  <si>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</si>
  <si>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</si>
  <si>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</si>
  <si>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</si>
  <si>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</si>
  <si>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</si>
  <si>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</si>
  <si>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</si>
  <si>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</si>
  <si>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</si>
  <si>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</si>
  <si>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</si>
  <si>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</si>
  <si>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</si>
  <si>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</si>
  <si>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</si>
  <si>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</si>
  <si>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</si>
  <si>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</si>
  <si>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</si>
  <si>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</si>
  <si>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</si>
  <si>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</si>
  <si>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</si>
  <si>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</si>
  <si>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</si>
  <si>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</si>
  <si>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</si>
  <si>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</si>
  <si>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</si>
  <si>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</si>
  <si>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</si>
  <si>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</si>
  <si>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</si>
  <si>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</si>
  <si>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</si>
  <si>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</si>
  <si>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</si>
  <si>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</si>
  <si>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</si>
  <si>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</si>
  <si>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</si>
  <si>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</si>
  <si>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</si>
  <si>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</si>
  <si>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</si>
  <si>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</si>
  <si>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</si>
  <si>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</si>
  <si>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</si>
  <si>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</si>
  <si>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</si>
  <si>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</si>
  <si>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</si>
  <si>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</si>
  <si>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</si>
  <si>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</si>
  <si>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</si>
  <si>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</si>
  <si>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</si>
  <si>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</si>
  <si>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</si>
  <si>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</si>
  <si>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</si>
  <si>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</si>
  <si>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</si>
  <si>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</si>
  <si>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</si>
  <si>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</si>
  <si>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</si>
  <si>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</si>
  <si>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</si>
  <si>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</si>
  <si>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</si>
  <si>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</si>
  <si>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</si>
  <si>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</si>
  <si>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</si>
  <si>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</si>
  <si>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</si>
  <si>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</si>
  <si>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</si>
  <si>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</si>
  <si>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</si>
  <si>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</si>
  <si>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</si>
  <si>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</si>
  <si>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</si>
  <si>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</si>
  <si>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</si>
  <si>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</si>
  <si>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</si>
  <si>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</si>
  <si>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</si>
  <si>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</si>
  <si>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</si>
  <si>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</si>
  <si>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</si>
  <si>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</si>
  <si>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</si>
  <si>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</si>
  <si>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</si>
  <si>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</si>
  <si>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</si>
  <si>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</si>
  <si>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</si>
  <si>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</si>
  <si>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</si>
  <si>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</si>
  <si>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</si>
  <si>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</si>
  <si>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</si>
  <si>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</si>
  <si>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</si>
  <si>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</si>
  <si>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</si>
  <si>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</si>
  <si>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</si>
  <si>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</si>
  <si>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</si>
  <si>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</si>
  <si>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</si>
  <si>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</si>
  <si>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</si>
  <si>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</si>
  <si>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</si>
  <si>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</si>
  <si>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</si>
  <si>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</si>
  <si>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</si>
  <si>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</si>
  <si>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</si>
  <si>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</si>
  <si>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</si>
  <si>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</si>
  <si>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</si>
  <si>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</si>
  <si>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</si>
  <si>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</si>
  <si>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</si>
  <si>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</si>
  <si>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</si>
  <si>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</si>
  <si>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</si>
  <si>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</si>
  <si>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</si>
  <si>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</si>
  <si>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</si>
  <si>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</si>
  <si>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</si>
  <si>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</si>
  <si>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</si>
  <si>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</si>
  <si>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</si>
  <si>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</si>
  <si>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</si>
  <si>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</si>
  <si>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</si>
  <si>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</si>
  <si>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</si>
  <si>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</si>
  <si>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</si>
  <si>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</si>
  <si>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</si>
  <si>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</si>
  <si>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</si>
  <si>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</si>
  <si>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</si>
  <si>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</si>
  <si>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</si>
  <si>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</si>
  <si>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</si>
  <si>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</si>
  <si>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</si>
  <si>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</si>
  <si>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</si>
  <si>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</si>
  <si>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</si>
  <si>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</si>
  <si>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</si>
  <si>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</si>
  <si>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</si>
  <si>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</si>
  <si>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</si>
  <si>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</si>
  <si>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</si>
  <si>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</si>
  <si>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</si>
  <si>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</si>
  <si>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</si>
  <si>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</si>
  <si>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</si>
  <si>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</si>
  <si>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</si>
  <si>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</si>
  <si>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</si>
  <si>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</si>
  <si>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</si>
  <si>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</si>
  <si>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</si>
  <si>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</si>
  <si>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</si>
  <si>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</si>
  <si>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</si>
  <si>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</si>
  <si>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</si>
  <si>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</si>
  <si>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</si>
  <si>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</si>
  <si>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</si>
  <si>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</si>
  <si>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</si>
  <si>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</si>
  <si>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</si>
  <si>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</si>
  <si>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</si>
  <si>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</si>
  <si>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</si>
  <si>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</si>
  <si>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</si>
  <si>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</si>
  <si>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</si>
  <si>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</si>
  <si>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</si>
  <si>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</si>
  <si>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</si>
  <si>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</si>
  <si>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</si>
  <si>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</si>
  <si>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</si>
  <si>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</si>
  <si>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</si>
  <si>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</si>
  <si>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</si>
  <si>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</si>
  <si>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</si>
  <si>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</si>
  <si>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</si>
  <si>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</si>
  <si>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</si>
  <si>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</si>
  <si>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</si>
  <si>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</si>
  <si>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</si>
  <si>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</si>
  <si>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</si>
  <si>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</si>
  <si>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</si>
  <si>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</si>
  <si>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</si>
  <si>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</si>
  <si>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</si>
  <si>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</si>
  <si>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</si>
  <si>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</si>
  <si>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</si>
  <si>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</si>
  <si>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</si>
  <si>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</si>
  <si>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</si>
  <si>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</si>
  <si>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</si>
  <si>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</si>
  <si>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</si>
  <si>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</si>
  <si>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</si>
  <si>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</si>
  <si>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</si>
  <si>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</si>
  <si>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</si>
  <si>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</si>
  <si>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</si>
  <si>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</si>
  <si>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</si>
  <si>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</si>
  <si>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</si>
  <si>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</si>
  <si>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</si>
  <si>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</si>
  <si>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</si>
  <si>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</si>
  <si>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</si>
  <si>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</si>
  <si>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</si>
  <si>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</si>
  <si>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</si>
  <si>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</si>
  <si>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</si>
  <si>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</si>
  <si>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</si>
  <si>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</si>
  <si>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</si>
  <si>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</si>
  <si>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</si>
  <si>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</si>
  <si>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</si>
  <si>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</si>
  <si>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</si>
  <si>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</si>
  <si>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</si>
  <si>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</si>
  <si>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</si>
  <si>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</si>
  <si>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</si>
  <si>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</si>
  <si>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</si>
  <si>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</si>
  <si>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</si>
  <si>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</si>
  <si>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</si>
  <si>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</si>
  <si>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</si>
  <si>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</si>
  <si>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</si>
  <si>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</si>
  <si>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</si>
  <si>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</si>
  <si>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</si>
  <si>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</si>
  <si>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</si>
  <si>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</si>
  <si>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</si>
  <si>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</si>
  <si>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</si>
  <si>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</si>
  <si>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</si>
  <si>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</si>
  <si>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</si>
  <si>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</si>
  <si>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</si>
  <si>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</si>
  <si>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</si>
  <si>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</si>
  <si>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</si>
  <si>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</si>
  <si>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</si>
  <si>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</si>
  <si>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</si>
  <si>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</si>
  <si>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</si>
  <si>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</si>
  <si>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</si>
  <si>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</si>
  <si>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</si>
  <si>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</si>
  <si>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</si>
  <si>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</si>
  <si>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</si>
  <si>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</si>
  <si>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</si>
  <si>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</si>
  <si>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</si>
  <si>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</si>
  <si>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</si>
  <si>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</si>
  <si>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</si>
  <si>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</si>
  <si>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</si>
  <si>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</si>
  <si>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</si>
  <si>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</si>
  <si>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</si>
  <si>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</si>
  <si>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</si>
  <si>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</si>
  <si>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</si>
  <si>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</si>
  <si>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</si>
  <si>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</si>
  <si>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</si>
  <si>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</si>
  <si>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</si>
  <si>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</si>
  <si>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</si>
  <si>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</si>
  <si>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</si>
  <si>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</si>
  <si>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</si>
  <si>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</si>
  <si>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</si>
  <si>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</si>
  <si>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</si>
  <si>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</si>
  <si>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</si>
  <si>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</si>
  <si>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</si>
  <si>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</si>
  <si>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</si>
  <si>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</si>
  <si>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</si>
  <si>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</si>
  <si>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</si>
  <si>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</si>
  <si>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</si>
  <si>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</si>
  <si>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</si>
  <si>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</si>
  <si>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</si>
  <si>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</si>
  <si>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</si>
  <si>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</si>
  <si>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</si>
  <si>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</si>
  <si>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</si>
  <si>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</si>
  <si>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</si>
  <si>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</si>
  <si>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</si>
  <si>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</si>
  <si>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</si>
  <si>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</si>
  <si>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</si>
  <si>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</si>
  <si>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</si>
  <si>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</si>
  <si>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</si>
  <si>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</si>
  <si>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</si>
  <si>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</si>
  <si>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</si>
  <si>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</si>
  <si>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</si>
  <si>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</si>
  <si>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</si>
  <si>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</si>
  <si>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</si>
  <si>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</si>
  <si>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</si>
  <si>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</si>
  <si>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</si>
  <si>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</si>
  <si>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</si>
  <si>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</si>
  <si>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</si>
  <si>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</si>
  <si>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</si>
  <si>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</si>
  <si>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</si>
  <si>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</si>
  <si>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</si>
  <si>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</si>
  <si>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</si>
  <si>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</si>
  <si>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</si>
  <si>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</si>
  <si>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</si>
  <si>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</si>
  <si>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</si>
  <si>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</si>
  <si>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</si>
  <si>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</si>
  <si>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</si>
  <si>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</si>
  <si>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</si>
  <si>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</si>
  <si>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</si>
  <si>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</si>
  <si>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</si>
  <si>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</si>
  <si>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</si>
  <si>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</si>
  <si>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</si>
  <si>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</si>
  <si>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</si>
  <si>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</si>
  <si>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</si>
  <si>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</si>
  <si>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</si>
  <si>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</si>
  <si>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</si>
  <si>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</si>
  <si>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</si>
  <si>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</si>
  <si>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</si>
  <si>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</si>
  <si>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</si>
  <si>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</si>
  <si>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</si>
  <si>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</si>
  <si>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</si>
  <si>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</si>
  <si>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</si>
  <si>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</si>
  <si>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</si>
  <si>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</si>
  <si>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</si>
  <si>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</si>
  <si>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</si>
  <si>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</si>
  <si>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</si>
  <si>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</si>
  <si>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</si>
  <si>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</si>
  <si>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</si>
  <si>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</si>
  <si>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</si>
  <si>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</si>
  <si>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</si>
  <si>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</si>
  <si>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</si>
  <si>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</si>
  <si>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</si>
  <si>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</si>
  <si>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</si>
  <si>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</si>
  <si>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</si>
  <si>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</si>
  <si>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</si>
  <si>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</si>
  <si>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</si>
  <si>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</si>
  <si>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</si>
  <si>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</si>
  <si>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</si>
  <si>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</si>
  <si>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</si>
  <si>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</si>
  <si>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</si>
  <si>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</si>
  <si>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</si>
  <si>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</si>
  <si>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</si>
  <si>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</si>
  <si>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</si>
  <si>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</si>
  <si>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</si>
  <si>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</si>
  <si>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</si>
  <si>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</si>
  <si>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</si>
  <si>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</si>
  <si>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</si>
  <si>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</si>
  <si>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</si>
  <si>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</si>
  <si>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</si>
  <si>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</si>
  <si>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</si>
  <si>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</si>
  <si>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</si>
  <si>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</si>
  <si>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</si>
  <si>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</si>
  <si>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</si>
  <si>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</si>
  <si>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</si>
  <si>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</si>
  <si>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</si>
  <si>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</si>
  <si>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</si>
  <si>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</si>
  <si>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</si>
  <si>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</si>
  <si>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</si>
  <si>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</si>
  <si>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</si>
  <si>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</si>
  <si>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</si>
  <si>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</si>
  <si>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</si>
  <si>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</si>
  <si>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</si>
  <si>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</si>
  <si>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</si>
  <si>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</si>
  <si>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</si>
  <si>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</si>
  <si>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</si>
  <si>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</si>
  <si>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</si>
  <si>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</si>
  <si>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</si>
  <si>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</si>
  <si>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</si>
  <si>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</si>
  <si>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</si>
  <si>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</si>
  <si>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</si>
  <si>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</si>
  <si>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</si>
  <si>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</si>
  <si>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</si>
  <si>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</si>
  <si>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</si>
  <si>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</si>
  <si>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</si>
  <si>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</si>
  <si>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</si>
  <si>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</si>
  <si>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</si>
  <si>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</si>
  <si>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</si>
  <si>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</si>
  <si>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</si>
  <si>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</si>
  <si>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</si>
  <si>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</si>
  <si>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</si>
  <si>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</si>
  <si>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</si>
  <si>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</si>
  <si>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</si>
  <si>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</si>
  <si>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</si>
  <si>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</si>
  <si>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</si>
  <si>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</si>
  <si>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</si>
  <si>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</si>
  <si>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</si>
  <si>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</si>
  <si>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</si>
  <si>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</si>
  <si>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</si>
  <si>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</si>
  <si>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</si>
  <si>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</si>
  <si>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</si>
  <si>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</si>
  <si>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</si>
  <si>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</si>
  <si>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</si>
  <si>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</si>
  <si>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</si>
  <si>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</si>
  <si>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</si>
  <si>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</si>
  <si>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</si>
  <si>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</si>
  <si>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</si>
  <si>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</si>
  <si>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</si>
  <si>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</si>
  <si>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</si>
  <si>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</si>
  <si>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</si>
  <si>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</si>
  <si>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</si>
  <si>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</si>
  <si>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</si>
  <si>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</si>
  <si>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</si>
  <si>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</si>
  <si>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</si>
  <si>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</si>
  <si>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</si>
  <si>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</si>
  <si>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</si>
  <si>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</si>
  <si>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</si>
  <si>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</si>
  <si>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</si>
  <si>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</si>
  <si>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</si>
  <si>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</si>
  <si>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</si>
  <si>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</si>
  <si>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</si>
  <si>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</si>
  <si>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</si>
  <si>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</si>
  <si>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</si>
  <si>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</si>
  <si>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</si>
  <si>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</si>
  <si>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</si>
  <si>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</si>
  <si>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</si>
  <si>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</si>
  <si>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</si>
  <si>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</si>
  <si>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</si>
  <si>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</si>
  <si>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</si>
  <si>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</si>
  <si>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</si>
  <si>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</si>
  <si>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</si>
  <si>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</si>
  <si>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</si>
  <si>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</si>
  <si>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</si>
  <si>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</si>
  <si>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</si>
  <si>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</si>
  <si>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</si>
  <si>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</si>
  <si>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</si>
  <si>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</si>
  <si>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</si>
  <si>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</si>
  <si>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</si>
  <si>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</si>
  <si>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</si>
  <si>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</si>
  <si>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</si>
  <si>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</si>
  <si>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</si>
  <si>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</si>
  <si>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</si>
  <si>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</si>
  <si>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</si>
  <si>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</si>
  <si>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</si>
  <si>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</si>
  <si>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</si>
  <si>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</si>
  <si>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</si>
  <si>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</si>
  <si>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</si>
  <si>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</si>
  <si>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</si>
  <si>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</si>
  <si>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</si>
  <si>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</si>
  <si>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</si>
  <si>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</si>
  <si>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</si>
  <si>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</si>
  <si>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</si>
  <si>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</si>
  <si>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</si>
  <si>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</si>
  <si>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</si>
  <si>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</si>
  <si>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</si>
  <si>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</si>
  <si>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</si>
  <si>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</si>
  <si>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</si>
  <si>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</si>
  <si>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</si>
  <si>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</si>
  <si>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</si>
  <si>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</si>
  <si>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</si>
  <si>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</si>
  <si>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</si>
  <si>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</si>
  <si>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</si>
  <si>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</si>
  <si>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</si>
  <si>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</si>
  <si>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</si>
  <si>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</si>
  <si>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</si>
  <si>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</si>
  <si>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</si>
  <si>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</si>
  <si>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</si>
  <si>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</si>
  <si>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</si>
  <si>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</si>
  <si>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</si>
  <si>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</si>
  <si>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</si>
  <si>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</si>
  <si>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</si>
  <si>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</si>
  <si>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</si>
  <si>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</si>
  <si>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</si>
  <si>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</si>
  <si>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</si>
  <si>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</si>
  <si>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</si>
  <si>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</si>
  <si>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</si>
  <si>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</si>
  <si>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</si>
  <si>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</si>
  <si>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</si>
  <si>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</si>
  <si>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</si>
  <si>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</si>
  <si>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</si>
  <si>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</si>
  <si>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</si>
  <si>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</si>
  <si>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</si>
  <si>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</si>
  <si>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</si>
  <si>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</si>
  <si>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</si>
  <si>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</si>
  <si>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</si>
  <si>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</si>
  <si>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</si>
  <si>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</si>
  <si>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</si>
  <si>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</si>
  <si>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</si>
  <si>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</si>
  <si>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</si>
  <si>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</si>
  <si>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</si>
  <si>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</si>
  <si>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</si>
  <si>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</si>
  <si>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</si>
  <si>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</si>
  <si>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</si>
  <si>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</si>
  <si>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</si>
  <si>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</si>
  <si>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</si>
  <si>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</si>
  <si>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</si>
  <si>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</si>
  <si>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</si>
  <si>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</si>
  <si>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</si>
  <si>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</si>
  <si>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</si>
  <si>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</si>
  <si>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</si>
  <si>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</si>
  <si>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</si>
  <si>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</si>
  <si>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</si>
  <si>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</si>
  <si>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</si>
  <si>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</si>
  <si>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</si>
  <si>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</si>
  <si>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</si>
  <si>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</si>
  <si>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</si>
  <si>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</si>
  <si>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</si>
  <si>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</si>
  <si>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</si>
  <si>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</si>
  <si>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</si>
  <si>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</si>
  <si>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</si>
  <si>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</si>
  <si>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</si>
  <si>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</si>
  <si>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</si>
  <si>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</si>
  <si>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</si>
  <si>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</si>
  <si>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</si>
  <si>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</si>
  <si>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</si>
  <si>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</si>
  <si>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</si>
  <si>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</si>
  <si>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</si>
  <si>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</si>
  <si>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</si>
  <si>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</si>
  <si>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</si>
  <si>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</si>
  <si>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</si>
  <si>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</si>
  <si>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</si>
  <si>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</si>
  <si>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</si>
  <si>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</si>
  <si>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</si>
  <si>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</si>
  <si>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</si>
  <si>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</si>
  <si>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</si>
  <si>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</si>
  <si>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</si>
  <si>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</si>
  <si>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</si>
  <si>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</si>
  <si>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</si>
  <si>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</si>
  <si>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</si>
  <si>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</si>
  <si>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</si>
  <si>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</si>
  <si>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</si>
  <si>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</si>
  <si>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</si>
  <si>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</si>
  <si>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</si>
  <si>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</si>
  <si>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</si>
  <si>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</si>
  <si>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</si>
  <si>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</si>
  <si>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</si>
  <si>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</si>
  <si>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</si>
  <si>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</si>
  <si>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</si>
  <si>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</si>
  <si>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</si>
  <si>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</si>
  <si>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</si>
  <si>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</si>
  <si>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</si>
  <si>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</si>
  <si>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</si>
  <si>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</si>
  <si>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</si>
  <si>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</si>
  <si>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</si>
  <si>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</si>
  <si>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</si>
  <si>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</si>
  <si>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</si>
  <si>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</si>
  <si>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</si>
  <si>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</si>
  <si>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</si>
  <si>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</si>
  <si>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</si>
  <si>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</si>
  <si>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</si>
  <si>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</si>
  <si>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</si>
  <si>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</si>
  <si>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</si>
  <si>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</si>
  <si>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</si>
  <si>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</si>
  <si>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</si>
  <si>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</si>
  <si>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</si>
  <si>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</si>
  <si>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</si>
  <si>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</si>
  <si>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</si>
  <si>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</si>
  <si>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</si>
  <si>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</si>
  <si>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</si>
  <si>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</si>
  <si>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</si>
  <si>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</si>
  <si>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</si>
  <si>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</si>
  <si>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</si>
  <si>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</si>
  <si>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</si>
  <si>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</si>
  <si>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</si>
  <si>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</si>
  <si>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</si>
  <si>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</si>
  <si>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</si>
  <si>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</si>
  <si>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</si>
  <si>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</si>
  <si>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</si>
  <si>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</si>
  <si>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</si>
  <si>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</si>
  <si>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</si>
  <si>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</si>
  <si>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</si>
  <si>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</si>
  <si>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</si>
  <si>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</si>
  <si>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</si>
  <si>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</si>
  <si>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</si>
  <si>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</si>
  <si>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</si>
  <si>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</si>
  <si>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</si>
  <si>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</si>
  <si>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</si>
  <si>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</si>
  <si>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</si>
  <si>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</si>
  <si>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</si>
  <si>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</si>
  <si>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</si>
  <si>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</si>
  <si>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</si>
  <si>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</si>
  <si>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</si>
  <si>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</si>
  <si>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</si>
  <si>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</si>
  <si>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</si>
  <si>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</si>
  <si>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</si>
  <si>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</si>
  <si>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</si>
  <si>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</si>
  <si>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</si>
  <si>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</si>
  <si>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</si>
  <si>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</si>
  <si>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</si>
  <si>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</si>
  <si>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</si>
  <si>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</si>
  <si>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</si>
  <si>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</si>
  <si>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</si>
  <si>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</si>
  <si>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</si>
  <si>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</si>
  <si>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</si>
  <si>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</si>
  <si>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</si>
  <si>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</si>
  <si>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</si>
  <si>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</si>
  <si>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</si>
  <si>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</si>
  <si>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</si>
  <si>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</si>
  <si>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</si>
  <si>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</si>
  <si>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</si>
  <si>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</si>
  <si>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</si>
  <si>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</si>
  <si>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</si>
  <si>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</si>
  <si>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</si>
  <si>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</si>
  <si>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</si>
  <si>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</si>
  <si>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</si>
  <si>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</si>
  <si>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</si>
  <si>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</si>
  <si>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</si>
  <si>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</si>
  <si>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</si>
  <si>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</si>
  <si>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</si>
  <si>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</si>
  <si>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</si>
  <si>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</si>
  <si>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</si>
  <si>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</si>
  <si>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</si>
  <si>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</si>
  <si>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</si>
  <si>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</si>
  <si>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</si>
  <si>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</si>
  <si>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</si>
  <si>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</si>
  <si>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</si>
  <si>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</si>
  <si>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</si>
  <si>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</si>
  <si>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</si>
  <si>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</si>
  <si>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</si>
  <si>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</si>
  <si>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</si>
  <si>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</si>
  <si>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</si>
  <si>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</si>
  <si>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</si>
  <si>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</si>
  <si>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</si>
  <si>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</si>
  <si>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</si>
  <si>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</si>
  <si>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</si>
  <si>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</si>
  <si>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</si>
  <si>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</si>
  <si>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</si>
  <si>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</si>
  <si>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</si>
  <si>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</si>
  <si>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</si>
  <si>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</si>
  <si>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</si>
  <si>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</si>
  <si>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</si>
  <si>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</si>
  <si>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</si>
  <si>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</si>
  <si>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</si>
  <si>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</si>
  <si>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</si>
  <si>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</si>
  <si>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</si>
  <si>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</si>
  <si>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</si>
  <si>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</si>
  <si>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</si>
  <si>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</si>
  <si>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</si>
  <si>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</si>
  <si>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</si>
  <si>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</si>
  <si>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</si>
  <si>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</si>
  <si>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</si>
  <si>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</si>
  <si>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</si>
  <si>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</si>
  <si>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</si>
  <si>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</si>
  <si>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</si>
  <si>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</si>
  <si>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</si>
  <si>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</si>
  <si>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</si>
  <si>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</si>
  <si>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</si>
  <si>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</si>
  <si>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</si>
  <si>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</si>
  <si>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</si>
  <si>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</si>
  <si>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</si>
  <si>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</si>
  <si>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</si>
  <si>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</si>
  <si>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</si>
  <si>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</si>
  <si>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</si>
  <si>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</si>
  <si>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</si>
  <si>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</si>
  <si>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</si>
  <si>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</si>
  <si>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</si>
  <si>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</si>
  <si>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</si>
  <si>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</si>
  <si>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</si>
  <si>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</si>
  <si>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</si>
  <si>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</si>
  <si>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</si>
  <si>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</si>
  <si>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</si>
  <si>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</si>
  <si>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</si>
  <si>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</si>
  <si>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</si>
  <si>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</si>
  <si>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</si>
  <si>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</si>
  <si>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</si>
  <si>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</si>
  <si>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</si>
  <si>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</si>
  <si>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</si>
  <si>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</si>
  <si>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</si>
  <si>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</si>
  <si>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</si>
  <si>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</si>
  <si>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</si>
  <si>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</si>
  <si>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</si>
  <si>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</si>
  <si>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</si>
  <si>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</si>
  <si>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</si>
  <si>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</si>
  <si>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</si>
  <si>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</si>
  <si>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</si>
  <si>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</si>
  <si>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</si>
  <si>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</si>
  <si>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</si>
  <si>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</si>
  <si>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</si>
  <si>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</si>
  <si>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</si>
  <si>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</si>
  <si>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</si>
  <si>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</si>
  <si>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</si>
  <si>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</si>
  <si>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</si>
  <si>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</si>
  <si>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</si>
  <si>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</si>
  <si>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</si>
  <si>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</si>
  <si>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</si>
  <si>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</si>
  <si>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</si>
  <si>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</si>
  <si>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</si>
  <si>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</si>
  <si>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</si>
  <si>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</si>
  <si>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</si>
  <si>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</si>
  <si>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</si>
  <si>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</si>
  <si>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</si>
  <si>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</si>
  <si>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</si>
  <si>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</si>
  <si>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</si>
  <si>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</si>
  <si>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</si>
  <si>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</si>
  <si>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</si>
  <si>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</si>
  <si>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</si>
  <si>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</si>
  <si>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</si>
  <si>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</si>
  <si>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</si>
  <si>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</si>
  <si>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</si>
  <si>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</si>
  <si>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</si>
  <si>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</si>
  <si>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</si>
  <si>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</si>
  <si>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</si>
  <si>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</si>
  <si>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</si>
  <si>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</si>
  <si>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</si>
  <si>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</si>
  <si>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</si>
  <si>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</si>
  <si>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</si>
  <si>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</si>
  <si>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</si>
  <si>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</si>
  <si>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</si>
  <si>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</si>
  <si>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</si>
  <si>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</si>
  <si>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</si>
  <si>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</si>
  <si>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</si>
  <si>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</si>
  <si>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</si>
  <si>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</si>
  <si>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</si>
  <si>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</si>
  <si>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</si>
  <si>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</si>
  <si>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</si>
  <si>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</si>
  <si>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</si>
  <si>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</si>
  <si>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</si>
  <si>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</si>
  <si>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</si>
  <si>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</si>
  <si>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</si>
  <si>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</si>
  <si>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</si>
  <si>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</si>
  <si>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</si>
  <si>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</si>
  <si>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</si>
  <si>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</si>
  <si>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</si>
  <si>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</si>
  <si>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</si>
  <si>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</si>
  <si>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</si>
  <si>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</si>
  <si>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</si>
  <si>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</si>
  <si>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</si>
  <si>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</si>
  <si>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</si>
  <si>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</si>
  <si>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</si>
  <si>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</si>
  <si>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</si>
  <si>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</si>
  <si>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</si>
  <si>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</si>
  <si>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</si>
  <si>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</si>
  <si>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</si>
  <si>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</si>
  <si>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</si>
  <si>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</si>
  <si>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</si>
  <si>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</si>
  <si>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</si>
  <si>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</si>
  <si>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</si>
  <si>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</si>
  <si>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</si>
  <si>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</si>
  <si>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</si>
  <si>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</si>
  <si>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</si>
  <si>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</si>
  <si>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</si>
  <si>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</si>
  <si>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</si>
  <si>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</si>
  <si>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</si>
  <si>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</si>
  <si>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</si>
  <si>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</si>
  <si>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</si>
  <si>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</si>
  <si>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</si>
  <si>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</si>
  <si>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</si>
  <si>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</si>
  <si>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</si>
  <si>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</si>
  <si>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</si>
  <si>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</si>
  <si>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</si>
  <si>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</si>
  <si>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</si>
  <si>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</si>
  <si>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</si>
  <si>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</si>
  <si>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</si>
  <si>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</si>
  <si>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</si>
  <si>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</si>
  <si>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</si>
  <si>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</si>
  <si>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</si>
  <si>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</si>
  <si>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</si>
  <si>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</si>
  <si>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</si>
  <si>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</si>
  <si>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</si>
  <si>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</si>
  <si>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</si>
  <si>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</si>
  <si>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</si>
  <si>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</si>
  <si>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</si>
  <si>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</si>
  <si>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</si>
  <si>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</si>
  <si>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</si>
  <si>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</si>
  <si>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</si>
  <si>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</si>
  <si>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</si>
  <si>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</si>
  <si>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</si>
  <si>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</si>
  <si>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</si>
  <si>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</si>
  <si>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</si>
  <si>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</si>
  <si>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</si>
  <si>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</si>
  <si>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</si>
  <si>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</si>
  <si>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</si>
  <si>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</si>
  <si>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</si>
  <si>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</si>
  <si>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</si>
  <si>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</si>
  <si>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</si>
  <si>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</si>
  <si>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</si>
  <si>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</si>
  <si>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</si>
  <si>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</si>
  <si>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</si>
  <si>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</si>
  <si>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</si>
  <si>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</si>
  <si>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</si>
  <si>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</si>
  <si>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</si>
  <si>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</si>
  <si>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</si>
  <si>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</si>
  <si>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</si>
  <si>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</si>
  <si>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</si>
  <si>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</si>
  <si>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</si>
  <si>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</si>
  <si>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</si>
  <si>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</si>
  <si>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</si>
  <si>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</si>
  <si>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</si>
  <si>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</si>
  <si>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</si>
  <si>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</si>
  <si>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</si>
  <si>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</si>
  <si>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</si>
  <si>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</si>
  <si>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</si>
  <si>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</si>
  <si>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</si>
  <si>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</si>
  <si>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</si>
  <si>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</si>
  <si>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</si>
  <si>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</si>
  <si>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</si>
  <si>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</si>
  <si>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</si>
  <si>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</si>
  <si>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</si>
  <si>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</si>
  <si>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</si>
  <si>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</si>
  <si>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</si>
  <si>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</si>
  <si>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</si>
  <si>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</si>
  <si>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</si>
  <si>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</si>
  <si>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</si>
  <si>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</si>
  <si>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</si>
  <si>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</si>
  <si>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</si>
  <si>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</si>
  <si>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</si>
  <si>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</si>
  <si>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</si>
  <si>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</si>
  <si>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</si>
  <si>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</si>
  <si>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</si>
  <si>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</si>
  <si>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</si>
  <si>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</si>
  <si>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</si>
  <si>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</si>
  <si>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</si>
  <si>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</si>
  <si>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</si>
  <si>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</si>
  <si>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</si>
  <si>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</si>
  <si>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</si>
  <si>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</si>
  <si>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</si>
  <si>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</si>
  <si>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</si>
  <si>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</si>
  <si>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</si>
  <si>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</si>
  <si>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</si>
  <si>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</si>
  <si>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</si>
  <si>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</si>
  <si>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</si>
  <si>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</si>
  <si>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</si>
  <si>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</si>
  <si>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</si>
  <si>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</si>
  <si>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</si>
  <si>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</si>
  <si>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</si>
  <si>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</si>
  <si>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</si>
  <si>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</si>
  <si>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</si>
  <si>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</si>
  <si>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</si>
  <si>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</si>
  <si>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</si>
  <si>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</si>
  <si>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</si>
  <si>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</si>
  <si>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</si>
  <si>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</si>
  <si>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</si>
  <si>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</si>
  <si>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</si>
  <si>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</si>
  <si>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</si>
  <si>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</si>
  <si>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</si>
  <si>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</si>
  <si>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</si>
  <si>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</si>
  <si>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</si>
  <si>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</si>
  <si>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</si>
  <si>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</si>
  <si>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</si>
  <si>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</si>
  <si>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</si>
  <si>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</si>
  <si>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</si>
  <si>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</si>
  <si>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</si>
  <si>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</si>
  <si>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</si>
  <si>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</si>
  <si>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</si>
  <si>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</si>
  <si>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</si>
  <si>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</si>
  <si>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</si>
  <si>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</si>
  <si>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</si>
  <si>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</si>
  <si>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</si>
  <si>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</si>
  <si>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</si>
  <si>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</si>
  <si>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</si>
  <si>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</si>
  <si>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</si>
  <si>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</si>
  <si>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</si>
  <si>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</si>
  <si>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</si>
  <si>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</si>
  <si>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</si>
  <si>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</si>
  <si>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</si>
  <si>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</si>
  <si>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</si>
  <si>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</si>
  <si>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</si>
  <si>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</si>
  <si>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</si>
  <si>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</si>
  <si>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</si>
  <si>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</si>
  <si>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</si>
  <si>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</si>
  <si>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</si>
  <si>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</si>
  <si>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</si>
  <si>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</si>
  <si>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</si>
  <si>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</si>
  <si>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</si>
  <si>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</si>
  <si>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</si>
  <si>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</si>
  <si>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</si>
  <si>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</si>
  <si>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</si>
  <si>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</si>
  <si>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</si>
  <si>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</si>
  <si>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</si>
  <si>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</si>
  <si>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</si>
  <si>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</si>
  <si>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</si>
  <si>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</si>
  <si>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</si>
  <si>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</si>
  <si>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</si>
  <si>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</si>
  <si>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</si>
  <si>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</si>
  <si>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</si>
  <si>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</si>
  <si>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</si>
  <si>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</si>
  <si>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</si>
  <si>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</si>
  <si>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</si>
  <si>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</si>
  <si>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</si>
  <si>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</si>
  <si>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</si>
  <si>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</si>
  <si>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</si>
  <si>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</si>
  <si>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</si>
  <si>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</si>
  <si>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</si>
  <si>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</si>
  <si>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</si>
  <si>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</si>
  <si>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</si>
  <si>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</si>
  <si>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</si>
  <si>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</si>
  <si>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</si>
  <si>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</si>
  <si>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</si>
  <si>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</si>
  <si>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</si>
  <si>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</si>
  <si>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</si>
  <si>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</si>
  <si>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</si>
  <si>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</si>
  <si>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</si>
  <si>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</si>
  <si>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</si>
  <si>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</si>
  <si>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</si>
  <si>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</si>
  <si>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</si>
  <si>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</si>
  <si>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</si>
  <si>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</si>
  <si>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</si>
  <si>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</si>
  <si>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</si>
  <si>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</si>
  <si>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</si>
  <si>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</si>
  <si>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</si>
  <si>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</si>
  <si>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</si>
  <si>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</si>
  <si>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</si>
  <si>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</si>
  <si>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</si>
  <si>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</si>
  <si>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</si>
  <si>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</si>
  <si>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</si>
  <si>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</si>
  <si>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</si>
  <si>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</si>
  <si>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</si>
  <si>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</si>
  <si>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</si>
  <si>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</si>
  <si>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</si>
  <si>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</si>
  <si>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</si>
  <si>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</si>
  <si>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</si>
  <si>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</si>
  <si>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</si>
  <si>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</si>
  <si>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</si>
  <si>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</si>
  <si>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</si>
  <si>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</si>
  <si>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</si>
  <si>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</si>
  <si>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</si>
  <si>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</si>
  <si>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</si>
  <si>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</si>
  <si>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</si>
  <si>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</si>
  <si>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</si>
  <si>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</si>
  <si>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</si>
  <si>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</si>
  <si>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</si>
  <si>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</si>
  <si>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</si>
  <si>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</si>
  <si>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</si>
  <si>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</si>
  <si>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</si>
  <si>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</si>
  <si>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</si>
  <si>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</si>
  <si>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</si>
  <si>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</si>
  <si>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</si>
  <si>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</si>
  <si>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</si>
  <si>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</si>
  <si>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</si>
  <si>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</si>
  <si>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</si>
  <si>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</si>
  <si>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</si>
  <si>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</si>
  <si>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</si>
  <si>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</si>
  <si>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</si>
  <si>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</si>
  <si>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</si>
  <si>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</si>
  <si>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</si>
  <si>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</si>
  <si>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</si>
  <si>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</si>
  <si>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</si>
  <si>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</si>
  <si>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</si>
  <si>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</si>
  <si>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</si>
  <si>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</si>
  <si>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</si>
  <si>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</si>
  <si>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</si>
  <si>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</si>
  <si>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</si>
  <si>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</si>
  <si>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</si>
  <si>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</si>
  <si>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</si>
  <si>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</si>
  <si>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</si>
  <si>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</si>
  <si>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</si>
  <si>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</si>
  <si>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</si>
  <si>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</si>
  <si>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</si>
  <si>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</si>
  <si>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</si>
  <si>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</si>
  <si>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</si>
  <si>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</si>
  <si>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</si>
  <si>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</si>
  <si>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</si>
  <si>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</si>
  <si>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</si>
  <si>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</si>
  <si>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</si>
  <si>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</si>
  <si>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</si>
  <si>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</si>
  <si>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</si>
  <si>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</si>
  <si>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</si>
  <si>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</si>
  <si>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</si>
  <si>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</si>
  <si>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</si>
  <si>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</si>
  <si>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</si>
  <si>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</si>
  <si>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</si>
  <si>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</si>
  <si>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</si>
  <si>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</si>
  <si>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</si>
  <si>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</si>
  <si>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</si>
  <si>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</si>
  <si>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</si>
  <si>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</si>
  <si>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</si>
  <si>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</si>
  <si>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</si>
  <si>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</si>
  <si>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</si>
  <si>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</si>
  <si>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</si>
  <si>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</si>
  <si>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</si>
  <si>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</si>
  <si>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</si>
  <si>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</si>
  <si>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</si>
  <si>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</si>
  <si>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</si>
  <si>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</si>
  <si>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</si>
  <si>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</si>
  <si>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</si>
  <si>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</si>
  <si>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</si>
  <si>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</si>
  <si>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</si>
  <si>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</si>
  <si>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</si>
  <si>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</si>
  <si>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</si>
  <si>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</si>
  <si>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</si>
  <si>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</si>
  <si>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</si>
  <si>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</si>
  <si>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</si>
  <si>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</si>
  <si>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</si>
  <si>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</si>
  <si>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</si>
  <si>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</si>
  <si>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</si>
  <si>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</si>
  <si>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</si>
  <si>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</si>
  <si>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</si>
  <si>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</si>
  <si>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</si>
  <si>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</si>
  <si>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</si>
  <si>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</si>
  <si>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</si>
  <si>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</si>
  <si>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</si>
  <si>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</si>
  <si>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</si>
  <si>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</si>
  <si>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</si>
  <si>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</si>
  <si>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</si>
  <si>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</si>
  <si>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</si>
  <si>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</si>
  <si>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</si>
  <si>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</si>
  <si>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</si>
  <si>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</si>
  <si>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</si>
  <si>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</si>
  <si>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</si>
  <si>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</si>
  <si>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</si>
  <si>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</si>
  <si>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</si>
  <si>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</si>
  <si>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</si>
  <si>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</si>
  <si>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</si>
  <si>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</si>
  <si>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</si>
  <si>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</si>
  <si>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</si>
  <si>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</si>
  <si>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</si>
  <si>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</si>
  <si>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</si>
  <si>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</si>
  <si>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</si>
  <si>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</si>
  <si>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</si>
  <si>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</si>
  <si>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</si>
  <si>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</si>
  <si>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</si>
  <si>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</si>
  <si>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</si>
  <si>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</si>
  <si>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</si>
  <si>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</si>
  <si>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</si>
  <si>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</si>
  <si>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</si>
  <si>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</si>
  <si>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</si>
  <si>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</si>
  <si>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</si>
  <si>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</si>
  <si>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</si>
  <si>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</si>
  <si>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</si>
  <si>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</si>
  <si>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</si>
  <si>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</si>
  <si>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</si>
  <si>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</si>
  <si>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</si>
  <si>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</si>
  <si>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</si>
  <si>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</si>
  <si>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</si>
  <si>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</si>
  <si>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</si>
  <si>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</si>
  <si>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</si>
  <si>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</si>
  <si>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</si>
  <si>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</si>
  <si>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</si>
  <si>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</si>
  <si>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</si>
  <si>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</si>
  <si>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</si>
  <si>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</si>
  <si>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</si>
  <si>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</si>
  <si>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</si>
  <si>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</si>
  <si>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</si>
  <si>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</si>
  <si>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</si>
  <si>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</si>
  <si>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</si>
  <si>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</si>
  <si>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</si>
  <si>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</si>
  <si>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</si>
  <si>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</si>
  <si>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</si>
  <si>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</si>
  <si>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</si>
  <si>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</si>
  <si>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</si>
  <si>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</si>
  <si>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</si>
  <si>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</si>
  <si>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</si>
  <si>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</si>
  <si>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</si>
  <si>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</si>
  <si>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</si>
  <si>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</si>
  <si>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</si>
  <si>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</si>
  <si>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</si>
  <si>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</si>
  <si>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</si>
  <si>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</si>
  <si>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</si>
  <si>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</si>
  <si>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</si>
  <si>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</si>
  <si>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</si>
  <si>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</si>
  <si>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</si>
  <si>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</si>
  <si>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</si>
  <si>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</si>
  <si>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</si>
  <si>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</si>
  <si>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</si>
  <si>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</si>
  <si>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</si>
  <si>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</si>
  <si>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</si>
  <si>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</si>
  <si>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</si>
  <si>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</si>
  <si>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</si>
  <si>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</si>
  <si>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</si>
  <si>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</si>
  <si>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</si>
  <si>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</si>
  <si>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</si>
  <si>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</si>
  <si>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</si>
  <si>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</si>
  <si>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</si>
  <si>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</si>
  <si>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</si>
  <si>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</si>
  <si>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</si>
  <si>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</si>
  <si>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</si>
  <si>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</si>
  <si>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</si>
  <si>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</si>
  <si>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</si>
  <si>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</si>
  <si>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</si>
  <si>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</si>
  <si>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</si>
  <si>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</si>
  <si>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</si>
  <si>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</si>
  <si>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</si>
  <si>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</si>
  <si>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</si>
  <si>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</si>
  <si>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</si>
  <si>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</si>
  <si>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</si>
  <si>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</si>
  <si>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</si>
  <si>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</si>
  <si>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</si>
  <si>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</si>
  <si>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</si>
  <si>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</si>
  <si>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</si>
  <si>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</si>
  <si>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</si>
  <si>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</si>
  <si>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</si>
  <si>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</si>
  <si>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</si>
  <si>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</si>
  <si>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</si>
  <si>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</si>
  <si>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</si>
  <si>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</si>
  <si>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</si>
  <si>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</si>
  <si>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</si>
  <si>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</si>
  <si>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</si>
  <si>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</si>
  <si>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</si>
  <si>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</si>
  <si>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</si>
  <si>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</si>
  <si>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</si>
  <si>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</si>
  <si>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</si>
  <si>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</si>
  <si>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</si>
  <si>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</si>
  <si>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</si>
  <si>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</si>
  <si>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</si>
  <si>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</si>
  <si>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</si>
  <si>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</si>
  <si>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</si>
  <si>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</si>
  <si>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</si>
  <si>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</si>
  <si>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</si>
  <si>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</si>
  <si>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</si>
  <si>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</si>
  <si>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</si>
  <si>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</si>
  <si>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</si>
  <si>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</si>
  <si>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</si>
  <si>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</si>
  <si>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</si>
  <si>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</si>
  <si>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</si>
  <si>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</si>
  <si>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</si>
  <si>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</si>
  <si>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</si>
  <si>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</si>
  <si>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</si>
  <si>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</si>
  <si>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</si>
  <si>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</si>
  <si>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</si>
  <si>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</si>
  <si>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</si>
  <si>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</si>
  <si>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</si>
  <si>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</si>
  <si>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</si>
  <si>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</si>
  <si>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</si>
  <si>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</si>
  <si>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</si>
  <si>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</si>
  <si>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</si>
  <si>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</si>
  <si>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</si>
  <si>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</si>
  <si>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</si>
  <si>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</si>
  <si>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</si>
  <si>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</si>
  <si>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</si>
  <si>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</si>
  <si>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</si>
  <si>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</si>
  <si>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</si>
  <si>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</si>
  <si>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</si>
  <si>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</si>
  <si>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</si>
  <si>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</si>
  <si>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</si>
  <si>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</si>
  <si>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</si>
  <si>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</si>
  <si>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</si>
  <si>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</si>
  <si>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</si>
  <si>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</si>
  <si>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</si>
  <si>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</si>
  <si>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</si>
  <si>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</si>
  <si>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</si>
  <si>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</si>
  <si>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</si>
  <si>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</si>
  <si>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</si>
  <si>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</si>
  <si>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</si>
  <si>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</si>
  <si>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</si>
  <si>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</si>
  <si>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</si>
  <si>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</si>
  <si>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</si>
  <si>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</si>
  <si>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</si>
  <si>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</si>
  <si>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</si>
  <si>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</si>
  <si>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</si>
  <si>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</si>
  <si>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</si>
  <si>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</si>
  <si>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</si>
  <si>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</si>
  <si>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</si>
  <si>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</si>
  <si>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</si>
  <si>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</si>
  <si>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</si>
  <si>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</si>
  <si>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</si>
  <si>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</si>
  <si>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</si>
  <si>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</si>
  <si>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</si>
  <si>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</si>
  <si>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</si>
  <si>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</si>
  <si>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</si>
  <si>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</si>
  <si>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</si>
  <si>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</si>
  <si>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</si>
  <si>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</si>
  <si>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</si>
  <si>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</si>
  <si>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</si>
  <si>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</si>
  <si>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</si>
  <si>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</si>
  <si>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</si>
  <si>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</si>
  <si>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</si>
  <si>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</si>
  <si>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</si>
  <si>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</si>
  <si>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</si>
  <si>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</si>
  <si>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</si>
  <si>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</si>
  <si>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</si>
  <si>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</si>
  <si>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</si>
  <si>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</si>
  <si>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</si>
  <si>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</si>
  <si>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</si>
  <si>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</si>
  <si>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</si>
  <si>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</si>
  <si>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</si>
  <si>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</si>
  <si>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</si>
  <si>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</si>
  <si>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</si>
  <si>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</si>
  <si>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</si>
  <si>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</si>
  <si>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</si>
  <si>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</si>
  <si>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</si>
  <si>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</si>
  <si>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</si>
  <si>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</si>
  <si>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</si>
  <si>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</si>
  <si>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</si>
  <si>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</si>
  <si>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</si>
  <si>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</si>
  <si>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</si>
  <si>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</si>
  <si>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</si>
  <si>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</si>
  <si>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</si>
  <si>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</si>
  <si>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</si>
  <si>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</si>
  <si>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</si>
  <si>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</si>
  <si>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</si>
  <si>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</si>
  <si>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</si>
  <si>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</si>
  <si>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</si>
  <si>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</si>
  <si>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</si>
  <si>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</si>
  <si>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</si>
  <si>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</si>
  <si>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</si>
  <si>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</si>
  <si>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</si>
  <si>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</si>
  <si>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</si>
  <si>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</si>
  <si>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</si>
  <si>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</si>
  <si>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</si>
  <si>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</si>
  <si>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</si>
  <si>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</si>
  <si>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</si>
  <si>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</si>
  <si>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</si>
  <si>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</si>
  <si>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</si>
  <si>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</si>
  <si>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</si>
  <si>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</si>
  <si>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</si>
  <si>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</si>
  <si>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</si>
  <si>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</si>
  <si>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</si>
  <si>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</si>
  <si>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</si>
  <si>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</si>
  <si>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</si>
  <si>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</si>
  <si>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</si>
  <si>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</si>
  <si>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</si>
  <si>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</si>
  <si>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</si>
  <si>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</si>
  <si>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</si>
  <si>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</si>
  <si>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</si>
  <si>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</si>
  <si>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</si>
  <si>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</si>
  <si>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</si>
  <si>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</si>
  <si>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</si>
  <si>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</si>
  <si>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</si>
  <si>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</si>
  <si>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</si>
  <si>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</si>
  <si>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</si>
  <si>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</si>
  <si>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</si>
  <si>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</si>
  <si>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</si>
  <si>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</si>
  <si>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</si>
  <si>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</si>
  <si>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</si>
  <si>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</si>
  <si>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</si>
  <si>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</si>
  <si>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</si>
  <si>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</si>
  <si>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</si>
  <si>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</si>
  <si>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</si>
  <si>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</si>
  <si>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</si>
  <si>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</si>
  <si>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</si>
  <si>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</si>
  <si>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</si>
  <si>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</si>
  <si>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</si>
  <si>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</si>
  <si>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</si>
  <si>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</si>
  <si>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</si>
  <si>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</si>
  <si>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</si>
  <si>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</si>
  <si>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</si>
  <si>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</si>
  <si>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</si>
  <si>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</si>
  <si>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</si>
  <si>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</si>
  <si>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</si>
  <si>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</si>
  <si>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</si>
  <si>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</si>
  <si>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</si>
  <si>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</si>
  <si>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</si>
  <si>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</si>
  <si>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</si>
  <si>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</si>
  <si>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</si>
  <si>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</si>
  <si>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</si>
  <si>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</si>
  <si>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</si>
  <si>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</si>
  <si>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</si>
  <si>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</si>
  <si>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</si>
  <si>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</si>
  <si>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</si>
  <si>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</si>
  <si>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</si>
  <si>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</si>
  <si>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</si>
  <si>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</si>
  <si>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</si>
  <si>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</si>
  <si>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</si>
  <si>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</si>
  <si>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</si>
  <si>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</si>
  <si>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</si>
  <si>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</si>
  <si>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</si>
  <si>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</si>
  <si>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</si>
  <si>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</si>
  <si>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</si>
  <si>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</si>
  <si>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</si>
  <si>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</si>
  <si>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</si>
  <si>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</si>
  <si>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</si>
  <si>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</si>
  <si>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</si>
  <si>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</si>
  <si>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</si>
  <si>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</si>
  <si>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</si>
  <si>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</si>
  <si>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</si>
  <si>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</si>
  <si>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</si>
  <si>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</si>
  <si>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</si>
  <si>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</si>
  <si>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</si>
  <si>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</si>
  <si>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</si>
  <si>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</si>
  <si>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</si>
  <si>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</si>
  <si>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</si>
  <si>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</si>
  <si>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</si>
  <si>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</si>
  <si>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</si>
  <si>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</si>
  <si>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</si>
  <si>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</si>
  <si>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</si>
  <si>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</si>
  <si>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</si>
  <si>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</si>
  <si>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</si>
  <si>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</si>
  <si>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</si>
  <si>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</si>
  <si>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</si>
  <si>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</si>
  <si>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</si>
  <si>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</si>
  <si>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</si>
  <si>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</si>
  <si>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</si>
  <si>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</si>
  <si>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</si>
  <si>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</si>
  <si>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</si>
  <si>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</si>
  <si>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</si>
  <si>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</si>
  <si>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</si>
  <si>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</si>
  <si>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</si>
  <si>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</si>
  <si>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</si>
  <si>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</si>
  <si>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</si>
  <si>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</si>
  <si>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</si>
  <si>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</si>
  <si>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</si>
  <si>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</si>
  <si>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</si>
  <si>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</si>
  <si>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</si>
  <si>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</si>
  <si>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</si>
  <si>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</si>
  <si>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</si>
  <si>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</si>
  <si>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</si>
  <si>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</si>
  <si>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</si>
  <si>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</si>
  <si>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</si>
  <si>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</si>
  <si>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</si>
  <si>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</si>
  <si>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</si>
  <si>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</si>
  <si>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</si>
  <si>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</si>
  <si>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</si>
  <si>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</si>
  <si>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</si>
  <si>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</si>
  <si>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</si>
  <si>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</si>
  <si>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</si>
  <si>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</si>
  <si>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</si>
  <si>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</si>
  <si>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</si>
  <si>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</si>
  <si>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</si>
  <si>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</si>
  <si>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</si>
  <si>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</si>
  <si>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</si>
  <si>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</si>
  <si>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</si>
  <si>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</si>
  <si>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</si>
  <si>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</si>
  <si>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</si>
  <si>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</si>
  <si>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</si>
  <si>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</si>
  <si>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</si>
  <si>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</si>
  <si>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</si>
  <si>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</si>
  <si>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</si>
  <si>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</si>
  <si>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</si>
  <si>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</si>
  <si>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</si>
  <si>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</si>
  <si>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</si>
  <si>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</si>
  <si>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</si>
  <si>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</si>
  <si>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</si>
  <si>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</si>
  <si>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</si>
  <si>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</si>
  <si>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</si>
  <si>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</si>
  <si>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</si>
  <si>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</si>
  <si>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</si>
  <si>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</si>
  <si>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</si>
  <si>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</si>
  <si>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</si>
  <si>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</si>
  <si>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</si>
  <si>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</si>
  <si>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</si>
  <si>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</si>
  <si>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</si>
  <si>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</si>
  <si>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</si>
  <si>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</si>
  <si>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</si>
  <si>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</si>
  <si>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</si>
  <si>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</si>
  <si>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</si>
  <si>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</si>
  <si>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</si>
  <si>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</si>
  <si>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</si>
  <si>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</si>
  <si>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</si>
  <si>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</si>
  <si>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</si>
  <si>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</si>
  <si>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</si>
  <si>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</si>
  <si>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</si>
  <si>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</si>
  <si>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</si>
  <si>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</si>
  <si>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</si>
  <si>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</si>
  <si>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</si>
  <si>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</si>
  <si>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</si>
  <si>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</si>
  <si>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</si>
  <si>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</si>
  <si>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</si>
  <si>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</si>
  <si>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</si>
  <si>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</si>
  <si>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</si>
  <si>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</si>
  <si>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</si>
  <si>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</si>
  <si>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</si>
  <si>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</si>
  <si>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</si>
  <si>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</si>
  <si>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</si>
  <si>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</si>
  <si>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</si>
  <si>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</si>
  <si>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</si>
  <si>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</si>
  <si>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</si>
  <si>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</si>
  <si>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</si>
  <si>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</si>
  <si>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</si>
  <si>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</si>
  <si>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</si>
  <si>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</si>
  <si>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</si>
  <si>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</si>
  <si>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</si>
  <si>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</si>
  <si>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</si>
  <si>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</si>
  <si>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</si>
  <si>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</si>
  <si>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</si>
  <si>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</si>
  <si>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</si>
  <si>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</si>
  <si>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</si>
  <si>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</si>
  <si>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</si>
  <si>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</si>
  <si>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</si>
  <si>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</si>
  <si>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</si>
  <si>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</si>
  <si>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</si>
  <si>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</si>
  <si>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</si>
  <si>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</si>
  <si>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</si>
  <si>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</si>
  <si>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</si>
  <si>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</si>
  <si>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</si>
  <si>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</si>
  <si>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</si>
  <si>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</si>
  <si>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</si>
  <si>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</si>
  <si>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</si>
  <si>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</si>
  <si>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</si>
  <si>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</si>
  <si>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</si>
  <si>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</si>
  <si>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</si>
  <si>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</si>
  <si>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</si>
  <si>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</si>
  <si>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</si>
  <si>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</si>
  <si>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</si>
  <si>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</si>
  <si>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</si>
  <si>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</si>
  <si>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</si>
  <si>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</si>
  <si>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</si>
  <si>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</si>
  <si>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</si>
  <si>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</si>
  <si>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</si>
  <si>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</si>
  <si>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</si>
  <si>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</si>
  <si>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</si>
  <si>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</si>
  <si>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</si>
  <si>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</si>
  <si>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</si>
  <si>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</si>
  <si>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</si>
  <si>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</si>
  <si>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</si>
  <si>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</si>
  <si>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</si>
  <si>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</si>
  <si>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</si>
  <si>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</si>
  <si>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</si>
  <si>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</si>
  <si>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</si>
  <si>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</si>
  <si>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</si>
  <si>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</si>
  <si>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</si>
  <si>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</si>
  <si>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</si>
  <si>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</si>
  <si>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</si>
  <si>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</si>
  <si>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</si>
  <si>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</si>
  <si>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</si>
  <si>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</si>
  <si>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</si>
  <si>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</si>
  <si>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</si>
  <si>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</si>
  <si>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</si>
  <si>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</si>
  <si>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</si>
  <si>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</si>
  <si>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</si>
  <si>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</si>
  <si>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</si>
  <si>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</si>
  <si>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</si>
  <si>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</si>
  <si>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</si>
  <si>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</si>
  <si>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</si>
  <si>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</si>
  <si>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</si>
  <si>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</si>
  <si>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</si>
  <si>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</si>
  <si>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</si>
  <si>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</si>
  <si>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</si>
  <si>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</si>
  <si>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</si>
  <si>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</si>
  <si>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</si>
  <si>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</si>
  <si>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</si>
  <si>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</si>
  <si>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</si>
  <si>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</si>
  <si>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</si>
  <si>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</si>
  <si>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</si>
  <si>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</si>
  <si>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</si>
  <si>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</si>
  <si>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</si>
  <si>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</si>
  <si>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</si>
  <si>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</si>
  <si>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</si>
  <si>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</si>
  <si>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</si>
  <si>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</si>
  <si>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</si>
  <si>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</si>
  <si>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</si>
  <si>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</si>
  <si>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</si>
  <si>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</si>
  <si>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</si>
  <si>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</si>
  <si>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</si>
  <si>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</si>
  <si>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</si>
  <si>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</si>
  <si>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</si>
  <si>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</si>
  <si>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</si>
  <si>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</si>
  <si>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</si>
  <si>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</si>
  <si>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</si>
  <si>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</si>
  <si>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</si>
  <si>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</si>
  <si>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</si>
  <si>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</si>
  <si>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</si>
  <si>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</si>
  <si>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</si>
  <si>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</si>
  <si>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</si>
  <si>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</si>
  <si>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</si>
  <si>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</si>
  <si>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</si>
  <si>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</si>
  <si>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</si>
  <si>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</si>
  <si>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</si>
  <si>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</si>
  <si>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</si>
  <si>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</si>
  <si>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</si>
  <si>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</si>
  <si>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</si>
  <si>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</si>
  <si>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</si>
  <si>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</si>
  <si>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</si>
  <si>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</si>
  <si>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</si>
  <si>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</si>
  <si>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</si>
  <si>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</si>
  <si>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</si>
  <si>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</si>
  <si>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</si>
  <si>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</si>
  <si>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</si>
  <si>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</si>
  <si>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</si>
  <si>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</si>
  <si>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</si>
  <si>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</si>
  <si>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</si>
  <si>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</si>
  <si>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</si>
  <si>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</si>
  <si>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</si>
  <si>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</si>
  <si>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</si>
  <si>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</si>
  <si>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</si>
  <si>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</si>
  <si>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</si>
  <si>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</si>
  <si>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</si>
  <si>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</si>
  <si>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</si>
  <si>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</si>
  <si>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</si>
  <si>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</si>
  <si>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</si>
  <si>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</si>
  <si>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</si>
  <si>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</si>
  <si>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</si>
  <si>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</si>
  <si>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</si>
  <si>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</si>
  <si>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</si>
  <si>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</si>
  <si>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</si>
  <si>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</si>
  <si>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</si>
  <si>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</si>
  <si>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</si>
  <si>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</si>
  <si>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</si>
  <si>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</si>
  <si>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</si>
  <si>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</si>
  <si>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</si>
  <si>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</si>
  <si>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</si>
  <si>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</si>
  <si>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</si>
  <si>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</si>
  <si>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</si>
  <si>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</si>
  <si>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</si>
  <si>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</si>
  <si>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</si>
  <si>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</si>
  <si>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</si>
  <si>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</si>
  <si>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</si>
  <si>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</si>
  <si>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</si>
  <si>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</si>
  <si>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</si>
  <si>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</si>
  <si>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</si>
  <si>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</si>
  <si>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</si>
  <si>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</si>
  <si>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</si>
  <si>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</si>
  <si>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</si>
  <si>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</si>
  <si>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</si>
  <si>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</si>
  <si>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</si>
  <si>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</si>
  <si>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</si>
  <si>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</si>
  <si>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</si>
  <si>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</si>
  <si>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</si>
  <si>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</si>
  <si>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</si>
  <si>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</si>
  <si>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</si>
  <si>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</si>
  <si>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</si>
  <si>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</si>
  <si>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</si>
  <si>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</si>
  <si>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</si>
  <si>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</si>
  <si>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</si>
  <si>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</si>
  <si>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</si>
  <si>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</si>
  <si>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</si>
  <si>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</si>
  <si>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</si>
  <si>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</si>
  <si>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</si>
  <si>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</si>
  <si>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</si>
  <si>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</si>
  <si>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</si>
  <si>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</si>
  <si>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</si>
  <si>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</si>
  <si>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</si>
  <si>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</si>
  <si>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</si>
  <si>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</si>
  <si>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</si>
  <si>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</si>
  <si>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</si>
  <si>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</si>
  <si>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</si>
  <si>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</si>
  <si>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</si>
  <si>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</si>
  <si>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</si>
  <si>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</si>
  <si>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</si>
  <si>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</si>
  <si>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</si>
  <si>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</si>
  <si>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</si>
  <si>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</si>
  <si>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</si>
  <si>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</si>
  <si>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</si>
  <si>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</si>
  <si>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</si>
  <si>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</si>
  <si>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</si>
  <si>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</si>
  <si>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</si>
  <si>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</si>
  <si>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</si>
  <si>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</si>
  <si>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</si>
  <si>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</si>
  <si>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</si>
  <si>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</si>
  <si>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</si>
  <si>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</si>
  <si>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</si>
  <si>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</si>
  <si>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</si>
  <si>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</si>
  <si>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</si>
  <si>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</si>
  <si>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</si>
  <si>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</si>
  <si>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</si>
  <si>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</si>
  <si>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</si>
  <si>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</si>
  <si>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</si>
  <si>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</si>
  <si>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</si>
  <si>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</si>
  <si>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</si>
  <si>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</si>
  <si>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</si>
  <si>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</si>
  <si>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</si>
  <si>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</si>
  <si>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</si>
  <si>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</si>
  <si>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</si>
  <si>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</si>
  <si>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</si>
  <si>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</si>
  <si>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</si>
  <si>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</si>
  <si>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</si>
  <si>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</si>
  <si>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</si>
  <si>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</si>
  <si>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</si>
  <si>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</si>
  <si>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</si>
  <si>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</si>
  <si>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</si>
  <si>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</si>
  <si>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</si>
  <si>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</si>
  <si>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</si>
  <si>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</si>
  <si>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</si>
  <si>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</si>
  <si>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</si>
  <si>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</si>
  <si>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</si>
  <si>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</si>
  <si>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</si>
  <si>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</si>
  <si>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</si>
  <si>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</si>
  <si>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</si>
  <si>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</si>
  <si>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</si>
  <si>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</si>
  <si>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</si>
  <si>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</si>
  <si>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</si>
  <si>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</si>
  <si>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</si>
  <si>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</si>
  <si>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</si>
  <si>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</si>
  <si>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</si>
  <si>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</si>
  <si>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</si>
  <si>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</si>
  <si>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</si>
  <si>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</si>
  <si>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</si>
  <si>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</si>
  <si>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</si>
  <si>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</si>
  <si>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</si>
  <si>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</si>
  <si>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</si>
  <si>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</si>
  <si>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</si>
  <si>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</si>
  <si>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</si>
  <si>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</si>
  <si>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</si>
  <si>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</si>
  <si>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</si>
  <si>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</si>
  <si>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</si>
  <si>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</si>
  <si>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</si>
  <si>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</si>
  <si>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</si>
  <si>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</si>
  <si>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</si>
  <si>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</si>
  <si>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</si>
  <si>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</si>
  <si>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</si>
  <si>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</si>
  <si>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</si>
  <si>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</si>
  <si>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</si>
  <si>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</si>
  <si>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</si>
  <si>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</si>
  <si>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</si>
  <si>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</si>
  <si>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</si>
  <si>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</si>
  <si>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</si>
  <si>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</si>
  <si>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</si>
  <si>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</si>
  <si>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</si>
  <si>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</si>
  <si>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</si>
  <si>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</si>
  <si>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</si>
  <si>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</si>
  <si>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</si>
  <si>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</si>
  <si>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</si>
  <si>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</si>
  <si>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</si>
  <si>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</si>
  <si>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</si>
  <si>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</si>
  <si>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</si>
  <si>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</si>
  <si>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</si>
  <si>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</si>
  <si>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</si>
  <si>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</si>
  <si>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</si>
  <si>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</si>
  <si>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</si>
  <si>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</si>
  <si>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</si>
  <si>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</si>
  <si>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</si>
  <si>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</si>
  <si>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</si>
  <si>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</si>
  <si>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</si>
  <si>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</si>
  <si>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</si>
  <si>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</si>
  <si>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</si>
  <si>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</si>
  <si>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</si>
  <si>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</si>
  <si>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</si>
  <si>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</si>
  <si>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</si>
  <si>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</si>
  <si>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</si>
  <si>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</si>
  <si>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</si>
  <si>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</si>
  <si>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</si>
  <si>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</si>
  <si>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</si>
  <si>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</si>
  <si>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</si>
  <si>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</si>
  <si>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</si>
  <si>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</si>
  <si>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</si>
  <si>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</si>
  <si>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</si>
  <si>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</si>
  <si>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</si>
  <si>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</si>
  <si>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</si>
  <si>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</si>
  <si>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</si>
  <si>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</si>
  <si>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</si>
  <si>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</si>
  <si>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</si>
  <si>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</si>
  <si>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</si>
  <si>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</si>
  <si>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</si>
  <si>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</si>
  <si>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</si>
  <si>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</si>
  <si>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</si>
  <si>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</si>
  <si>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</si>
  <si>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</si>
  <si>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</si>
  <si>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</si>
  <si>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</si>
  <si>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</si>
  <si>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</si>
  <si>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</si>
  <si>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</si>
  <si>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</si>
  <si>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</si>
  <si>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</si>
  <si>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</si>
  <si>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</si>
  <si>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</si>
  <si>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</si>
  <si>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</si>
  <si>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</si>
  <si>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</si>
  <si>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</si>
  <si>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</si>
  <si>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</si>
  <si>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</si>
  <si>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</si>
  <si>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</si>
  <si>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</si>
  <si>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</si>
  <si>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</si>
  <si>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</si>
  <si>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</si>
  <si>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</si>
  <si>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</si>
  <si>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</si>
  <si>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</si>
  <si>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</si>
  <si>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</si>
  <si>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</si>
  <si>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</si>
  <si>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</si>
  <si>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</si>
  <si>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</si>
  <si>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</si>
  <si>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</si>
  <si>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</si>
  <si>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</si>
  <si>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</si>
  <si>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</si>
  <si>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</si>
  <si>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</si>
  <si>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</si>
  <si>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</si>
  <si>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</si>
  <si>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</si>
  <si>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</si>
  <si>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</si>
  <si>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</si>
  <si>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</si>
  <si>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</si>
  <si>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</si>
  <si>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</si>
  <si>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</si>
  <si>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</si>
  <si>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</si>
  <si>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</si>
  <si>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</si>
  <si>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</si>
  <si>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</si>
  <si>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</si>
  <si>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</si>
  <si>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</si>
  <si>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</si>
  <si>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</si>
  <si>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</si>
  <si>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</si>
  <si>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</si>
  <si>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</si>
  <si>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</si>
  <si>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</si>
  <si>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</si>
  <si>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</si>
  <si>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</si>
  <si>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</si>
  <si>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</si>
  <si>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</si>
  <si>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</si>
  <si>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</si>
  <si>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</si>
  <si>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</si>
  <si>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</si>
  <si>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</si>
  <si>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</si>
  <si>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</si>
  <si>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</si>
  <si>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</si>
  <si>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</si>
  <si>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</si>
  <si>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</si>
  <si>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</si>
  <si>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</si>
  <si>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</si>
  <si>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</si>
  <si>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</si>
  <si>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</si>
  <si>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</si>
  <si>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</si>
  <si>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</si>
  <si>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</si>
  <si>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</si>
  <si>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</si>
  <si>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</si>
  <si>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</si>
  <si>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</si>
  <si>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</si>
  <si>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</si>
  <si>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</si>
  <si>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</si>
  <si>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</si>
  <si>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</si>
  <si>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</si>
  <si>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</si>
  <si>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</si>
  <si>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</si>
  <si>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</si>
  <si>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</si>
  <si>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</si>
  <si>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</si>
  <si>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</si>
  <si>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</si>
  <si>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</si>
  <si>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</si>
  <si>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</si>
  <si>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</si>
  <si>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</si>
  <si>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</si>
  <si>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</si>
  <si>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</si>
  <si>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</si>
  <si>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</si>
  <si>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</si>
  <si>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</si>
  <si>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</si>
  <si>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</si>
  <si>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</si>
  <si>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</si>
  <si>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</si>
  <si>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</si>
  <si>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</si>
  <si>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</si>
  <si>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</si>
  <si>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</si>
  <si>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</si>
  <si>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</si>
  <si>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</si>
  <si>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</si>
  <si>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</si>
  <si>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</si>
  <si>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</si>
  <si>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</si>
  <si>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</si>
  <si>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</si>
  <si>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</si>
  <si>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</si>
  <si>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</si>
  <si>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</si>
  <si>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</si>
  <si>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</si>
  <si>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</si>
  <si>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</si>
  <si>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</si>
  <si>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</si>
  <si>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</si>
  <si>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</si>
  <si>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</si>
  <si>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</si>
  <si>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</si>
  <si>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</si>
  <si>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</si>
  <si>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</si>
  <si>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</si>
  <si>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</si>
  <si>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</si>
  <si>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</si>
  <si>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</si>
  <si>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</si>
  <si>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</si>
  <si>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</si>
  <si>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</si>
  <si>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</si>
  <si>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</si>
  <si>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</si>
  <si>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</si>
  <si>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</si>
  <si>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</si>
  <si>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</si>
  <si>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</si>
  <si>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</si>
  <si>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</si>
  <si>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</si>
  <si>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</si>
  <si>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</si>
  <si>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</si>
  <si>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</si>
  <si>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</si>
  <si>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</si>
  <si>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</si>
  <si>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</si>
  <si>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</si>
  <si>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</si>
  <si>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</si>
  <si>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</si>
  <si>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</si>
  <si>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</si>
  <si>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</si>
  <si>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</si>
  <si>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</si>
  <si>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</si>
  <si>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</si>
  <si>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</si>
  <si>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</si>
  <si>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</si>
  <si>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</si>
  <si>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</si>
  <si>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</si>
  <si>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</si>
  <si>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</si>
  <si>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</si>
  <si>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</si>
  <si>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</si>
  <si>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</si>
  <si>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</si>
  <si>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</si>
  <si>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</si>
  <si>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</si>
  <si>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</si>
  <si>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</si>
  <si>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</si>
  <si>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</si>
  <si>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</si>
  <si>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</si>
  <si>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</si>
  <si>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</si>
  <si>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</si>
  <si>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</si>
  <si>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</si>
  <si>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</si>
  <si>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</si>
  <si>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</si>
  <si>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</si>
  <si>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</si>
  <si>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</si>
  <si>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</si>
  <si>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</si>
  <si>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</si>
  <si>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</si>
  <si>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</si>
  <si>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</si>
  <si>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</si>
  <si>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</si>
  <si>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</si>
  <si>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</si>
  <si>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</si>
  <si>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</si>
  <si>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</si>
  <si>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</si>
  <si>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</si>
  <si>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</si>
  <si>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</si>
  <si>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</si>
  <si>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</si>
  <si>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</si>
  <si>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</si>
  <si>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</si>
  <si>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</si>
  <si>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</si>
  <si>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</si>
  <si>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</si>
  <si>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</si>
  <si>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</si>
  <si>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</si>
  <si>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</si>
  <si>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</si>
  <si>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</si>
  <si>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</si>
  <si>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</si>
  <si>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</si>
  <si>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</si>
  <si>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</si>
  <si>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</si>
  <si>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</si>
  <si>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</si>
  <si>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</si>
  <si>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</si>
  <si>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</si>
  <si>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</si>
  <si>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</si>
  <si>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</si>
  <si>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</si>
  <si>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</si>
  <si>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</si>
  <si>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</si>
  <si>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</si>
  <si>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</si>
  <si>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</si>
  <si>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</si>
  <si>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</si>
  <si>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</si>
  <si>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</si>
  <si>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</si>
  <si>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</si>
  <si>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</si>
  <si>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</si>
  <si>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</si>
  <si>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</si>
  <si>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</si>
  <si>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</si>
  <si>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</si>
  <si>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</si>
  <si>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</si>
  <si>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</si>
  <si>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</si>
  <si>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</si>
  <si>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</si>
  <si>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</si>
  <si>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</si>
  <si>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</si>
  <si>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</si>
  <si>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</si>
  <si>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</si>
  <si>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</si>
  <si>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</si>
  <si>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</si>
  <si>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</si>
  <si>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</si>
  <si>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</si>
  <si>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</si>
  <si>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</si>
  <si>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</si>
  <si>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</si>
  <si>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</si>
  <si>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</si>
  <si>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</si>
  <si>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</si>
  <si>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</si>
  <si>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</si>
  <si>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</si>
  <si>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</si>
  <si>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</si>
  <si>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</si>
  <si>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</si>
  <si>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</si>
  <si>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</si>
  <si>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</si>
  <si>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</si>
  <si>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</si>
  <si>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</si>
  <si>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</si>
  <si>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</si>
  <si>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</si>
  <si>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</si>
  <si>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</si>
  <si>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</si>
  <si>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</si>
  <si>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</si>
  <si>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</si>
  <si>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</si>
  <si>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</si>
  <si>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</si>
  <si>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</si>
  <si>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</si>
  <si>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</si>
  <si>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</si>
  <si>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</si>
  <si>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</si>
  <si>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</si>
  <si>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</si>
  <si>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</si>
  <si>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</si>
  <si>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</si>
  <si>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</si>
  <si>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</si>
  <si>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</si>
  <si>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</si>
  <si>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</si>
  <si>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</si>
  <si>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</si>
  <si>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</si>
  <si>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</si>
  <si>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</si>
  <si>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</si>
  <si>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</si>
  <si>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</si>
  <si>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</si>
  <si>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</si>
  <si>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</si>
  <si>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</si>
  <si>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</si>
  <si>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</si>
  <si>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</si>
  <si>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</si>
  <si>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</si>
  <si>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</si>
  <si>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</si>
  <si>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</si>
  <si>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</si>
  <si>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</si>
  <si>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</si>
  <si>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</si>
  <si>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</si>
  <si>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</si>
  <si>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</si>
  <si>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</si>
  <si>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</si>
  <si>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</si>
  <si>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</si>
  <si>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</si>
  <si>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</si>
  <si>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</si>
  <si>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</si>
  <si>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</si>
  <si>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</si>
  <si>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</si>
  <si>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</si>
  <si>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</si>
  <si>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</si>
  <si>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</si>
  <si>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</si>
  <si>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</si>
  <si>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</si>
  <si>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</si>
  <si>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</si>
  <si>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</si>
  <si>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</si>
  <si>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</si>
  <si>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</si>
  <si>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</si>
  <si>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</si>
  <si>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</si>
  <si>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</si>
  <si>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</si>
  <si>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</si>
  <si>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</si>
  <si>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</si>
  <si>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</si>
  <si>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</si>
  <si>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</si>
  <si>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</si>
  <si>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</si>
  <si>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</si>
  <si>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</si>
  <si>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</si>
  <si>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</si>
  <si>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</si>
  <si>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</si>
  <si>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</si>
  <si>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</si>
  <si>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</si>
  <si>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</si>
  <si>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</si>
  <si>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</si>
  <si>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</si>
  <si>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</si>
  <si>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</si>
  <si>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</si>
  <si>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</si>
  <si>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</si>
  <si>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</si>
  <si>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</si>
  <si>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</si>
  <si>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</si>
  <si>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</si>
  <si>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</si>
  <si>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</si>
  <si>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</si>
  <si>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</si>
  <si>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</si>
  <si>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</si>
  <si>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</si>
  <si>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</si>
  <si>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</si>
  <si>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</si>
  <si>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</si>
  <si>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</si>
  <si>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</si>
  <si>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</si>
  <si>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</si>
  <si>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</si>
  <si>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</si>
  <si>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</si>
  <si>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</si>
  <si>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</si>
  <si>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</si>
  <si>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</si>
  <si>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</si>
  <si>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</si>
  <si>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</si>
  <si>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</si>
  <si>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</si>
  <si>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</si>
  <si>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</si>
  <si>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</si>
  <si>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</si>
  <si>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</si>
  <si>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</si>
  <si>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</si>
  <si>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</si>
  <si>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</si>
  <si>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</si>
  <si>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</si>
  <si>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</si>
  <si>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</si>
  <si>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</si>
  <si>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</si>
  <si>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</si>
  <si>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</si>
  <si>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</si>
  <si>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</si>
  <si>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</si>
  <si>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</si>
  <si>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</si>
  <si>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</si>
  <si>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</si>
  <si>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</si>
  <si>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</si>
  <si>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</si>
  <si>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</si>
  <si>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</si>
  <si>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</si>
  <si>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</si>
  <si>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</si>
  <si>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</si>
  <si>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</si>
  <si>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</si>
  <si>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</si>
  <si>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</si>
  <si>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</si>
  <si>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</si>
  <si>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</si>
  <si>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</si>
  <si>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</si>
  <si>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</si>
  <si>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</si>
  <si>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</si>
  <si>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</si>
  <si>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</si>
  <si>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</si>
  <si>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</si>
  <si>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</si>
  <si>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</si>
  <si>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</si>
  <si>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</si>
  <si>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</si>
  <si>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</si>
  <si>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</si>
  <si>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</si>
  <si>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</si>
  <si>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</si>
  <si>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</si>
  <si>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</si>
  <si>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</si>
  <si>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</si>
  <si>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</si>
  <si>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</si>
  <si>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</si>
  <si>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</si>
  <si>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</si>
  <si>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</si>
  <si>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</si>
  <si>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</si>
  <si>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</si>
  <si>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</si>
  <si>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</si>
  <si>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</si>
  <si>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</si>
  <si>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</si>
  <si>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</si>
  <si>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</si>
  <si>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</si>
  <si>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</si>
  <si>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</si>
  <si>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</si>
  <si>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</si>
  <si>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</si>
  <si>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</si>
  <si>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</si>
  <si>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</si>
  <si>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</si>
  <si>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</si>
  <si>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</si>
  <si>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</si>
  <si>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</si>
  <si>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</si>
  <si>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</si>
  <si>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</si>
  <si>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</si>
  <si>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</si>
  <si>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</si>
  <si>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</si>
  <si>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</si>
  <si>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</si>
  <si>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</si>
  <si>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</si>
  <si>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</si>
  <si>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</si>
  <si>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</si>
  <si>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</si>
  <si>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</si>
  <si>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</si>
  <si>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</si>
  <si>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</si>
  <si>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</si>
  <si>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</si>
  <si>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</si>
  <si>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</si>
  <si>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</si>
  <si>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</si>
  <si>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</si>
  <si>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</si>
  <si>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</si>
  <si>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</si>
  <si>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</si>
  <si>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</si>
  <si>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</si>
  <si>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</si>
  <si>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</si>
  <si>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</si>
  <si>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</si>
  <si>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</si>
  <si>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</si>
  <si>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</si>
  <si>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</si>
  <si>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</si>
  <si>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</si>
  <si>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</si>
  <si>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</si>
  <si>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</si>
  <si>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</si>
  <si>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</si>
  <si>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</si>
  <si>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</si>
  <si>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</si>
  <si>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</si>
  <si>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</si>
  <si>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</si>
  <si>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</si>
  <si>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</si>
  <si>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</si>
  <si>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</si>
  <si>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</si>
  <si>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</si>
  <si>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</si>
  <si>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</si>
  <si>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</si>
  <si>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</si>
  <si>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</si>
  <si>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</si>
  <si>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</si>
  <si>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</si>
  <si>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</si>
  <si>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</si>
  <si>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</si>
  <si>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</si>
  <si>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</si>
  <si>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</si>
  <si>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</si>
  <si>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</si>
  <si>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</si>
  <si>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</si>
  <si>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</si>
  <si>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</si>
  <si>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</si>
  <si>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</si>
  <si>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</si>
  <si>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</si>
  <si>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</si>
  <si>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</si>
  <si>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</si>
  <si>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</si>
  <si>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</si>
  <si>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</si>
  <si>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</si>
  <si>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</si>
  <si>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</si>
  <si>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</si>
  <si>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</si>
  <si>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</si>
  <si>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</si>
  <si>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</si>
  <si>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</si>
  <si>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</si>
  <si>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</si>
  <si>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</si>
  <si>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</si>
  <si>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</si>
  <si>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</si>
  <si>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</si>
  <si>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</si>
  <si>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</si>
  <si>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</si>
  <si>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</si>
  <si>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</si>
  <si>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</si>
  <si>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</si>
  <si>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</si>
  <si>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</si>
  <si>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</si>
  <si>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</si>
  <si>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</si>
  <si>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</si>
  <si>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</si>
  <si>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</si>
  <si>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</si>
  <si>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</si>
  <si>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</si>
  <si>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</si>
  <si>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</si>
  <si>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</si>
  <si>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</si>
  <si>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</si>
  <si>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</si>
  <si>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</si>
  <si>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</si>
  <si>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</si>
  <si>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</si>
  <si>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</si>
  <si>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</si>
  <si>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</si>
  <si>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</si>
  <si>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</si>
  <si>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</si>
  <si>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</si>
  <si>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</si>
  <si>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</si>
  <si>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</si>
  <si>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</si>
  <si>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</si>
  <si>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</si>
  <si>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</si>
  <si>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</si>
  <si>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</si>
  <si>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</si>
  <si>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</si>
  <si>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</si>
  <si>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</si>
  <si>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</si>
  <si>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</si>
  <si>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</si>
  <si>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</si>
  <si>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</si>
  <si>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</si>
  <si>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</si>
  <si>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</si>
  <si>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</si>
  <si>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</si>
  <si>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</si>
  <si>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</si>
  <si>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</si>
  <si>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</si>
  <si>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</si>
  <si>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</si>
  <si>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</si>
  <si>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</si>
  <si>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</si>
  <si>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</si>
  <si>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</si>
  <si>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</si>
  <si>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</si>
  <si>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</si>
  <si>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</si>
  <si>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</si>
  <si>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</si>
  <si>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</si>
  <si>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</si>
  <si>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</si>
  <si>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</si>
  <si>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</si>
  <si>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</si>
  <si>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</si>
  <si>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</si>
  <si>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</si>
  <si>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</si>
  <si>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</si>
  <si>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</si>
  <si>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</si>
  <si>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</si>
  <si>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</si>
  <si>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</si>
  <si>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</si>
  <si>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</si>
  <si>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</si>
  <si>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</si>
  <si>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</si>
  <si>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</si>
  <si>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</si>
  <si>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</si>
  <si>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</si>
  <si>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</si>
  <si>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</si>
  <si>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</si>
  <si>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</si>
  <si>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</si>
  <si>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</si>
  <si>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</si>
  <si>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</si>
  <si>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</si>
  <si>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</si>
  <si>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</si>
  <si>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</si>
  <si>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</si>
  <si>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</si>
  <si>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</si>
  <si>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</si>
  <si>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</si>
  <si>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</si>
  <si>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</si>
  <si>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</si>
  <si>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</si>
  <si>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</si>
  <si>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</si>
  <si>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</si>
  <si>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</si>
  <si>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</si>
  <si>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</si>
  <si>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</si>
  <si>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</si>
  <si>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</si>
  <si>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</si>
  <si>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</si>
  <si>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</si>
  <si>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</si>
  <si>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</si>
  <si>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</si>
  <si>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</si>
  <si>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</si>
  <si>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</si>
  <si>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</si>
  <si>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</si>
  <si>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</si>
  <si>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</si>
  <si>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</si>
  <si>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</si>
  <si>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</si>
  <si>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</si>
  <si>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</si>
  <si>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</si>
  <si>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</si>
  <si>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</si>
  <si>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</si>
  <si>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</si>
  <si>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</si>
  <si>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</si>
  <si>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</si>
  <si>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</si>
  <si>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</si>
  <si>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</si>
  <si>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</si>
  <si>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</si>
  <si>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</si>
  <si>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</si>
  <si>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</si>
  <si>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</si>
  <si>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</si>
  <si>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</si>
  <si>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</si>
  <si>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</si>
  <si>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</si>
  <si>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</si>
  <si>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</si>
  <si>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</si>
  <si>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</si>
  <si>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</si>
  <si>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</si>
  <si>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</si>
  <si>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</si>
  <si>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</si>
  <si>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</si>
  <si>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</si>
  <si>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</si>
  <si>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</si>
  <si>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</si>
  <si>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</si>
  <si>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</si>
  <si>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</si>
  <si>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</si>
  <si>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</si>
  <si>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</si>
  <si>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</si>
  <si>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</si>
  <si>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</si>
  <si>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</si>
  <si>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</si>
  <si>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</si>
  <si>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</si>
  <si>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</si>
  <si>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</si>
  <si>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</si>
  <si>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</si>
  <si>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</si>
  <si>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</si>
  <si>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</si>
  <si>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</si>
  <si>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</si>
  <si>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</si>
  <si>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</si>
  <si>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</si>
  <si>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</si>
  <si>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</si>
  <si>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</si>
  <si>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</si>
  <si>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</si>
  <si>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</si>
  <si>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</si>
  <si>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</si>
  <si>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</si>
  <si>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</si>
  <si>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</si>
  <si>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</si>
  <si>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</si>
  <si>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</si>
  <si>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</si>
  <si>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</si>
  <si>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</si>
  <si>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</si>
  <si>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</si>
  <si>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</si>
  <si>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</si>
  <si>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</si>
  <si>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</si>
  <si>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</si>
  <si>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</si>
  <si>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</si>
  <si>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</si>
  <si>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</si>
  <si>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</si>
  <si>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</si>
  <si>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</si>
  <si>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</si>
  <si>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</si>
  <si>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</si>
  <si>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</si>
  <si>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</si>
  <si>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</si>
  <si>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</si>
  <si>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</si>
  <si>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</si>
  <si>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</si>
  <si>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</si>
  <si>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</si>
  <si>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</si>
  <si>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</si>
  <si>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</si>
  <si>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</si>
  <si>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</si>
  <si>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</si>
  <si>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</si>
  <si>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</si>
  <si>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</si>
  <si>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</si>
  <si>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</si>
  <si>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</si>
  <si>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</si>
  <si>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</si>
  <si>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</si>
  <si>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</si>
  <si>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</si>
  <si>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</si>
  <si>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</si>
  <si>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</si>
  <si>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</si>
  <si>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</si>
  <si>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</si>
  <si>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</si>
  <si>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</si>
  <si>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</si>
  <si>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</si>
  <si>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</si>
  <si>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</si>
  <si>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</si>
  <si>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</si>
  <si>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</si>
  <si>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</si>
  <si>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</si>
  <si>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</si>
  <si>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</si>
  <si>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</si>
  <si>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</si>
  <si>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</si>
  <si>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</si>
  <si>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</si>
  <si>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</si>
  <si>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</si>
  <si>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</si>
  <si>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</si>
  <si>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</si>
  <si>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</si>
  <si>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</si>
  <si>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</si>
  <si>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</si>
  <si>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</si>
  <si>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</si>
  <si>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</si>
  <si>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</si>
  <si>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</si>
  <si>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</si>
  <si>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</si>
  <si>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</si>
  <si>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</si>
  <si>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</si>
  <si>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</si>
  <si>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</si>
  <si>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</si>
  <si>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</si>
  <si>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</si>
  <si>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</si>
  <si>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</si>
  <si>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</si>
  <si>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</si>
  <si>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</si>
  <si>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</si>
  <si>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</si>
  <si>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</si>
  <si>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</si>
  <si>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</si>
  <si>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</si>
  <si>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</si>
  <si>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</si>
  <si>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</si>
  <si>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</si>
  <si>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</si>
  <si>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</si>
  <si>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</si>
  <si>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</si>
  <si>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</si>
  <si>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</si>
  <si>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</si>
  <si>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</si>
  <si>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</si>
  <si>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</si>
  <si>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</si>
  <si>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</si>
  <si>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</si>
  <si>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</si>
  <si>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</si>
  <si>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</si>
  <si>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</si>
  <si>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</si>
  <si>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</si>
  <si>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</si>
  <si>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</si>
  <si>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</si>
  <si>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</si>
  <si>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</si>
  <si>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</si>
  <si>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</si>
  <si>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</si>
  <si>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</si>
  <si>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</si>
  <si>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</si>
  <si>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</si>
  <si>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</si>
  <si>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</si>
  <si>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</si>
  <si>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</si>
  <si>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</si>
  <si>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</si>
  <si>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</si>
  <si>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</si>
  <si>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</si>
  <si>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</si>
  <si>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</si>
  <si>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</si>
  <si>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</si>
  <si>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</si>
  <si>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</si>
  <si>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</si>
  <si>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</si>
  <si>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</si>
  <si>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</si>
  <si>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</si>
  <si>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</si>
  <si>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</si>
  <si>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</si>
  <si>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</si>
  <si>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</si>
  <si>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</si>
  <si>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</si>
  <si>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</si>
  <si>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</si>
  <si>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</si>
  <si>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</si>
  <si>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</si>
  <si>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</si>
  <si>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</si>
  <si>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</si>
  <si>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</si>
  <si>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</si>
  <si>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</si>
  <si>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</si>
  <si>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</si>
  <si>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</si>
  <si>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</si>
  <si>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</si>
  <si>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</si>
  <si>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</si>
  <si>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</si>
  <si>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</si>
  <si>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</si>
  <si>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</si>
  <si>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</si>
  <si>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</si>
  <si>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</si>
  <si>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</si>
  <si>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</si>
  <si>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</si>
  <si>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</si>
  <si>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</si>
  <si>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</si>
  <si>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</si>
  <si>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</si>
  <si>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</si>
  <si>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</si>
  <si>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</si>
  <si>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</si>
  <si>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</si>
  <si>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</si>
  <si>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</si>
  <si>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</si>
  <si>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</si>
  <si>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</si>
  <si>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</si>
  <si>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</si>
  <si>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</si>
  <si>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</si>
  <si>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</si>
  <si>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</si>
  <si>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</si>
  <si>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</si>
  <si>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</si>
  <si>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</si>
  <si>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</si>
  <si>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</si>
  <si>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</si>
  <si>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</si>
  <si>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</si>
  <si>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</si>
  <si>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</si>
  <si>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</si>
  <si>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</si>
  <si>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</si>
  <si>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</si>
  <si>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</si>
  <si>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</si>
  <si>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</si>
  <si>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</si>
  <si>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</si>
  <si>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</si>
  <si>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</si>
  <si>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</si>
  <si>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</si>
  <si>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</si>
  <si>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</si>
  <si>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</si>
  <si>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</si>
  <si>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</si>
  <si>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</si>
  <si>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</si>
  <si>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</si>
  <si>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</si>
  <si>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</si>
  <si>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</si>
  <si>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</si>
  <si>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</si>
  <si>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</si>
  <si>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</si>
  <si>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</si>
  <si>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</si>
  <si>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</si>
  <si>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</si>
  <si>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</si>
  <si>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</si>
  <si>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</si>
  <si>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</si>
  <si>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</si>
  <si>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</si>
  <si>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</si>
  <si>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</si>
  <si>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</si>
  <si>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</si>
  <si>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</si>
  <si>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</si>
  <si>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</si>
  <si>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</si>
  <si>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</si>
  <si>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</si>
  <si>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</si>
  <si>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</si>
  <si>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</si>
  <si>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</si>
  <si>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</si>
  <si>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</si>
  <si>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</si>
  <si>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</si>
  <si>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</si>
  <si>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</si>
  <si>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</si>
  <si>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</si>
  <si>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</si>
  <si>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</si>
  <si>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</si>
  <si>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</si>
  <si>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</si>
  <si>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</si>
  <si>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</si>
  <si>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</si>
  <si>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</si>
  <si>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</si>
  <si>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</si>
  <si>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</si>
  <si>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</si>
  <si>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</si>
  <si>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</si>
  <si>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</si>
  <si>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</si>
  <si>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</si>
  <si>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</si>
  <si>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</si>
  <si>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</si>
  <si>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</si>
  <si>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</si>
  <si>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</si>
  <si>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</si>
  <si>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</si>
  <si>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</si>
  <si>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</si>
  <si>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</si>
  <si>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</si>
  <si>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</si>
  <si>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</si>
  <si>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</si>
  <si>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</si>
  <si>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</si>
  <si>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</si>
  <si>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</si>
  <si>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</si>
  <si>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</si>
  <si>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</si>
  <si>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</si>
  <si>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</si>
  <si>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</si>
  <si>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</si>
  <si>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</si>
  <si>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</si>
  <si>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</si>
  <si>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</si>
  <si>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</si>
  <si>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</si>
  <si>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</si>
  <si>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</si>
  <si>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</si>
  <si>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</si>
  <si>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</si>
  <si>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</si>
  <si>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</si>
  <si>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</si>
  <si>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</si>
  <si>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</si>
  <si>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</si>
  <si>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</si>
  <si>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</si>
  <si>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</si>
  <si>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</si>
  <si>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</si>
  <si>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</si>
  <si>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</si>
  <si>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</si>
  <si>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</si>
  <si>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</si>
  <si>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</si>
  <si>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</si>
  <si>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</si>
  <si>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</si>
  <si>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</si>
  <si>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</si>
  <si>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</si>
  <si>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</si>
  <si>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</si>
  <si>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</si>
  <si>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</si>
  <si>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</si>
  <si>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</si>
  <si>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</si>
  <si>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</si>
  <si>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</si>
  <si>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</si>
  <si>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</si>
  <si>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</si>
  <si>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</si>
  <si>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</si>
  <si>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</si>
  <si>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</si>
  <si>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</si>
  <si>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</si>
  <si>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</si>
  <si>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</si>
  <si>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</si>
  <si>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</si>
  <si>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</si>
  <si>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</si>
  <si>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</si>
  <si>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</si>
  <si>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</si>
  <si>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</si>
  <si>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</si>
  <si>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</si>
  <si>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</si>
  <si>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</si>
  <si>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</si>
  <si>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</si>
  <si>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</si>
  <si>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</si>
  <si>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</si>
  <si>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</si>
  <si>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</si>
  <si>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</si>
  <si>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</si>
  <si>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</si>
  <si>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</si>
  <si>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</si>
  <si>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</si>
  <si>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</si>
  <si>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</si>
  <si>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</si>
  <si>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</si>
  <si>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</si>
  <si>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</si>
  <si>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</si>
  <si>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</si>
  <si>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</si>
  <si>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</si>
  <si>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</si>
  <si>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</si>
  <si>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</si>
  <si>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</si>
  <si>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</si>
  <si>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</si>
  <si>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</si>
  <si>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</si>
  <si>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</si>
  <si>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</si>
  <si>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</si>
  <si>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</si>
  <si>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</si>
  <si>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</si>
  <si>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</si>
  <si>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</si>
  <si>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</si>
  <si>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</si>
  <si>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</si>
  <si>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</si>
  <si>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</si>
  <si>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</si>
  <si>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</si>
  <si>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</si>
  <si>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</si>
  <si>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</si>
  <si>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</si>
  <si>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</si>
  <si>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</si>
  <si>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</si>
  <si>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</si>
  <si>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</si>
  <si>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</si>
  <si>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</si>
  <si>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</si>
  <si>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</si>
  <si>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</si>
  <si>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</si>
  <si>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</si>
  <si>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</si>
  <si>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</si>
  <si>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</si>
  <si>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</si>
  <si>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</si>
  <si>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</si>
  <si>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</si>
  <si>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</si>
  <si>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</si>
  <si>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</si>
  <si>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</si>
  <si>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</si>
  <si>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</si>
  <si>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</si>
  <si>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</si>
  <si>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</si>
  <si>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</si>
  <si>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</si>
  <si>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</si>
  <si>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</si>
  <si>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</si>
  <si>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</si>
  <si>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</si>
  <si>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</si>
  <si>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</si>
  <si>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</si>
  <si>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</si>
  <si>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</si>
  <si>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</si>
  <si>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</si>
  <si>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</si>
  <si>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</si>
  <si>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</si>
  <si>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</si>
  <si>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</si>
  <si>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</si>
  <si>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</si>
  <si>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</si>
  <si>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</si>
  <si>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</si>
  <si>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</si>
  <si>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</si>
  <si>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</si>
  <si>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</si>
  <si>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</si>
  <si>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</si>
  <si>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</si>
  <si>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</si>
  <si>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</si>
  <si>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</si>
  <si>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</si>
  <si>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</si>
  <si>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</si>
  <si>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</si>
  <si>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</si>
  <si>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</si>
  <si>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</si>
  <si>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</si>
  <si>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</si>
  <si>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</si>
  <si>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</si>
  <si>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</si>
  <si>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</si>
  <si>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</si>
  <si>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</si>
  <si>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</si>
  <si>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</si>
  <si>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</si>
  <si>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</si>
  <si>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</si>
  <si>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</si>
  <si>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</si>
  <si>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</si>
  <si>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</si>
  <si>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</si>
  <si>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</si>
  <si>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</si>
  <si>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</si>
  <si>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</si>
  <si>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</si>
  <si>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</si>
  <si>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</si>
  <si>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</si>
  <si>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</si>
  <si>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</si>
  <si>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</si>
  <si>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</si>
  <si>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</si>
  <si>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</si>
  <si>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</si>
  <si>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</si>
  <si>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</si>
  <si>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</si>
  <si>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</si>
  <si>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</si>
  <si>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</si>
  <si>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</si>
  <si>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</si>
  <si>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</si>
  <si>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</si>
  <si>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</si>
  <si>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</si>
  <si>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</si>
  <si>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</si>
  <si>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</si>
  <si>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</si>
  <si>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</si>
  <si>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</si>
  <si>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</si>
  <si>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</si>
  <si>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</si>
  <si>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</si>
  <si>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</si>
  <si>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</si>
  <si>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</si>
  <si>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</si>
  <si>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</si>
  <si>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</si>
  <si>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</si>
  <si>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</si>
  <si>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</si>
  <si>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</si>
  <si>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</si>
  <si>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</si>
  <si>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</si>
  <si>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</si>
  <si>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</si>
  <si>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</si>
  <si>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</si>
  <si>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</si>
  <si>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</si>
  <si>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</si>
  <si>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</si>
  <si>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</si>
  <si>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</si>
  <si>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</si>
  <si>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</si>
  <si>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</si>
  <si>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</si>
  <si>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</si>
  <si>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</si>
  <si>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</si>
  <si>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</si>
  <si>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</si>
  <si>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</si>
  <si>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</si>
  <si>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</si>
  <si>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</si>
  <si>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</si>
  <si>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</si>
  <si>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</si>
  <si>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</si>
  <si>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</si>
  <si>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</si>
  <si>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</si>
  <si>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</si>
  <si>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</si>
  <si>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</si>
  <si>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</si>
  <si>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</si>
  <si>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</si>
  <si>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</si>
  <si>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</si>
  <si>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</si>
  <si>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</si>
  <si>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</si>
  <si>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</si>
  <si>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</si>
  <si>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</si>
  <si>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</si>
  <si>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</si>
  <si>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</si>
  <si>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</si>
  <si>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</si>
  <si>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</si>
  <si>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</si>
  <si>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</si>
  <si>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</si>
  <si>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</si>
  <si>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</si>
  <si>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</si>
  <si>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</si>
  <si>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</si>
  <si>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</si>
  <si>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</si>
  <si>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</si>
  <si>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</si>
  <si>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</si>
  <si>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</si>
  <si>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</si>
  <si>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</si>
  <si>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</si>
  <si>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</si>
  <si>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</si>
  <si>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</si>
  <si>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</si>
  <si>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</si>
  <si>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</si>
  <si>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</si>
  <si>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</si>
  <si>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</si>
  <si>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</si>
  <si>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</si>
  <si>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</si>
  <si>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</si>
  <si>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</si>
  <si>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</si>
  <si>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</si>
  <si>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</si>
  <si>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</si>
  <si>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</si>
  <si>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</si>
  <si>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</si>
  <si>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</si>
  <si>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</si>
  <si>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</si>
  <si>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</si>
  <si>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</si>
  <si>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</si>
  <si>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</si>
  <si>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</si>
  <si>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</si>
  <si>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</si>
  <si>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</si>
  <si>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</si>
  <si>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</si>
  <si>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</si>
  <si>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</si>
  <si>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</si>
  <si>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</si>
  <si>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</si>
  <si>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</si>
  <si>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</si>
  <si>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</si>
  <si>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</si>
  <si>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</si>
  <si>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</si>
  <si>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</si>
  <si>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</si>
  <si>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</si>
  <si>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</si>
  <si>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</si>
  <si>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</si>
  <si>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</si>
  <si>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</si>
  <si>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</si>
  <si>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</si>
  <si>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</si>
  <si>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</si>
  <si>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</si>
  <si>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</si>
  <si>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</si>
  <si>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</si>
  <si>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</si>
  <si>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</si>
  <si>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</si>
  <si>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</si>
  <si>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</si>
  <si>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</si>
  <si>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</si>
  <si>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</si>
  <si>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</si>
  <si>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</si>
  <si>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</si>
  <si>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</si>
  <si>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</si>
  <si>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</si>
  <si>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</si>
  <si>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</si>
  <si>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</si>
  <si>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</si>
  <si>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</si>
  <si>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</si>
  <si>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</si>
  <si>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</si>
  <si>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</si>
  <si>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</si>
  <si>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</si>
  <si>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</si>
  <si>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</si>
  <si>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</si>
  <si>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</si>
  <si>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</si>
  <si>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</si>
  <si>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</si>
  <si>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</si>
  <si>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</si>
  <si>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</si>
  <si>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</si>
  <si>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</si>
  <si>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</si>
  <si>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</si>
  <si>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</si>
  <si>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</si>
  <si>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</si>
  <si>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</si>
  <si>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</si>
  <si>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</si>
  <si>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</si>
  <si>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</si>
  <si>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</si>
  <si>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</si>
  <si>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</si>
  <si>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</si>
  <si>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</si>
  <si>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</si>
  <si>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</si>
  <si>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</si>
  <si>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</si>
  <si>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</si>
  <si>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</si>
  <si>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</si>
  <si>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</si>
  <si>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</si>
  <si>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</si>
  <si>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</si>
  <si>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</si>
  <si>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</si>
  <si>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</si>
  <si>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</si>
  <si>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</si>
  <si>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</si>
  <si>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</si>
  <si>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</si>
  <si>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</si>
  <si>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</si>
  <si>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</si>
  <si>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</si>
  <si>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</si>
  <si>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</si>
  <si>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</si>
  <si>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</si>
  <si>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</si>
  <si>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</si>
  <si>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</si>
  <si>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</si>
  <si>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</si>
  <si>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</si>
  <si>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</si>
  <si>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</si>
  <si>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</si>
  <si>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</si>
  <si>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</si>
  <si>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</si>
  <si>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</si>
  <si>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</si>
  <si>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</si>
  <si>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</si>
  <si>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</si>
  <si>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</si>
  <si>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</si>
  <si>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</si>
  <si>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</si>
  <si>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</si>
  <si>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</si>
  <si>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</si>
  <si>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</si>
  <si>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</si>
  <si>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</si>
  <si>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</si>
  <si>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</si>
  <si>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</si>
  <si>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</si>
  <si>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</si>
  <si>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</si>
  <si>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</si>
  <si>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</si>
  <si>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</si>
  <si>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</si>
  <si>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</si>
  <si>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</si>
  <si>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</si>
  <si>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</si>
  <si>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</si>
  <si>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</si>
  <si>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</si>
  <si>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</si>
  <si>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</si>
  <si>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</si>
  <si>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</si>
  <si>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</si>
  <si>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</si>
  <si>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</si>
  <si>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</si>
  <si>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</si>
  <si>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</si>
  <si>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</si>
  <si>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</si>
  <si>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</si>
  <si>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</si>
  <si>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</si>
  <si>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</si>
  <si>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</si>
  <si>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</si>
  <si>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</si>
  <si>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</si>
  <si>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</si>
  <si>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</si>
  <si>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</si>
  <si>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</si>
  <si>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</si>
  <si>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</si>
  <si>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</si>
  <si>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</si>
  <si>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</si>
  <si>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</si>
  <si>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</si>
  <si>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</si>
  <si>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</si>
  <si>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</si>
  <si>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</si>
  <si>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</si>
  <si>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</si>
  <si>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</si>
  <si>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</si>
  <si>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</si>
  <si>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</si>
  <si>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</si>
  <si>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</si>
  <si>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</si>
  <si>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</si>
  <si>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</si>
  <si>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</si>
  <si>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</si>
  <si>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</si>
  <si>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</si>
  <si>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</si>
  <si>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</si>
  <si>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</si>
  <si>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</si>
  <si>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</si>
  <si>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</si>
  <si>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</si>
  <si>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</si>
  <si>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</si>
  <si>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</si>
  <si>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</si>
  <si>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</si>
  <si>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</si>
  <si>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</si>
  <si>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</si>
  <si>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</si>
  <si>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</si>
  <si>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</si>
  <si>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</si>
  <si>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</si>
  <si>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</si>
  <si>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</si>
  <si>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</si>
  <si>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</si>
  <si>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</si>
  <si>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</si>
  <si>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</si>
  <si>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</si>
  <si>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</si>
  <si>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</si>
  <si>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</si>
  <si>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</si>
  <si>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</si>
  <si>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</si>
  <si>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</si>
  <si>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</si>
  <si>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</si>
  <si>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</si>
  <si>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</si>
  <si>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</si>
  <si>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</si>
  <si>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</si>
  <si>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</si>
  <si>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</si>
  <si>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</si>
  <si>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</si>
  <si>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</si>
  <si>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</si>
  <si>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</si>
  <si>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</si>
  <si>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</si>
  <si>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</si>
  <si>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</si>
  <si>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</si>
  <si>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</si>
  <si>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</si>
  <si>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</si>
  <si>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</si>
  <si>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</si>
  <si>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</si>
  <si>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</si>
  <si>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</si>
  <si>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</si>
  <si>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</si>
  <si>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</si>
  <si>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</si>
  <si>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</si>
  <si>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</si>
  <si>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</si>
  <si>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</si>
  <si>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</si>
  <si>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</si>
  <si>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</si>
  <si>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</si>
  <si>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</si>
  <si>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</si>
  <si>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</si>
  <si>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</si>
  <si>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</si>
  <si>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</si>
  <si>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</si>
  <si>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</si>
  <si>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</si>
  <si>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</si>
  <si>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</si>
  <si>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</si>
  <si>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</si>
  <si>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</si>
  <si>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</si>
  <si>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</si>
  <si>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</si>
  <si>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</si>
  <si>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</si>
  <si>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</si>
  <si>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</si>
  <si>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</si>
  <si>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</si>
  <si>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</si>
  <si>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</si>
  <si>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</si>
  <si>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</si>
  <si>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</si>
  <si>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</si>
  <si>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</si>
  <si>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</si>
  <si>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</si>
  <si>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</si>
  <si>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</si>
  <si>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</si>
  <si>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</si>
  <si>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</si>
  <si>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</si>
  <si>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</si>
  <si>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</si>
  <si>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</si>
  <si>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</si>
  <si>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</si>
  <si>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</si>
  <si>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</si>
  <si>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</si>
  <si>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</si>
  <si>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</si>
  <si>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</si>
  <si>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</si>
  <si>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</si>
  <si>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</si>
  <si>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</si>
  <si>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</si>
  <si>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</si>
  <si>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</si>
  <si>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</si>
  <si>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</si>
  <si>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</si>
  <si>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</si>
  <si>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</si>
  <si>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</si>
  <si>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</si>
  <si>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</si>
  <si>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</si>
  <si>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</si>
  <si>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</si>
  <si>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</si>
  <si>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</si>
  <si>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</si>
  <si>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</si>
  <si>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</si>
  <si>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</si>
  <si>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</si>
  <si>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</si>
  <si>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</si>
  <si>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</si>
  <si>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</si>
  <si>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</si>
  <si>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</si>
  <si>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</si>
  <si>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</si>
  <si>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</si>
  <si>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</si>
  <si>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</si>
  <si>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</si>
  <si>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</si>
  <si>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</si>
  <si>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</si>
  <si>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</si>
  <si>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</si>
  <si>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</si>
  <si>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</si>
  <si>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</si>
  <si>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</si>
  <si>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</si>
  <si>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</si>
  <si>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</si>
  <si>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</si>
  <si>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</si>
  <si>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</si>
  <si>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</si>
  <si>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</si>
  <si>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</si>
  <si>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</si>
  <si>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</si>
  <si>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</si>
  <si>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</si>
  <si>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</si>
  <si>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</si>
  <si>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</si>
  <si>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</si>
  <si>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</si>
  <si>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</si>
  <si>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</si>
  <si>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</si>
  <si>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</si>
  <si>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</si>
  <si>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</si>
  <si>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</si>
  <si>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</si>
  <si>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</si>
  <si>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</si>
  <si>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</si>
  <si>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</si>
  <si>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</si>
  <si>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</si>
  <si>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</si>
  <si>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</si>
  <si>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</si>
  <si>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</si>
  <si>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</si>
  <si>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</si>
  <si>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</si>
  <si>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</si>
  <si>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</si>
  <si>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</si>
  <si>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</si>
  <si>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</si>
  <si>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</si>
  <si>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</si>
  <si>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</si>
  <si>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</si>
  <si>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</si>
  <si>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</si>
  <si>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</si>
  <si>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</si>
  <si>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</si>
  <si>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</si>
  <si>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</si>
  <si>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</si>
  <si>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</si>
  <si>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</si>
  <si>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</si>
  <si>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</si>
  <si>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</si>
  <si>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</si>
  <si>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</si>
  <si>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</si>
  <si>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</si>
  <si>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</si>
  <si>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</si>
  <si>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</si>
  <si>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</si>
  <si>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</si>
  <si>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</si>
  <si>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</si>
  <si>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</si>
  <si>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</si>
  <si>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</si>
  <si>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</si>
  <si>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</si>
  <si>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</si>
  <si>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</si>
  <si>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</si>
  <si>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</si>
  <si>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</si>
  <si>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</si>
  <si>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</si>
  <si>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</si>
  <si>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</si>
  <si>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</si>
  <si>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</si>
  <si>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</si>
  <si>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</si>
  <si>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</si>
  <si>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</si>
  <si>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</si>
  <si>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</si>
  <si>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</si>
  <si>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</si>
  <si>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</si>
  <si>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</si>
  <si>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</si>
  <si>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</si>
  <si>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</si>
  <si>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</si>
  <si>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</si>
  <si>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</si>
  <si>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</si>
  <si>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</si>
  <si>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</si>
  <si>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</si>
  <si>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</si>
  <si>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</si>
  <si>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</si>
  <si>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</si>
  <si>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</si>
  <si>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</si>
  <si>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</si>
  <si>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</si>
  <si>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</si>
  <si>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</si>
  <si>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</si>
  <si>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</si>
  <si>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</si>
  <si>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</si>
  <si>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</si>
  <si>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</si>
  <si>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</si>
  <si>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</si>
  <si>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</si>
  <si>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</si>
  <si>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</si>
  <si>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</si>
  <si>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</si>
  <si>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</si>
  <si>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</si>
  <si>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</si>
  <si>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</si>
  <si>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</si>
  <si>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</si>
  <si>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</si>
  <si>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</si>
  <si>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</si>
  <si>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</si>
  <si>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</si>
  <si>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</si>
  <si>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</si>
  <si>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</si>
  <si>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</si>
  <si>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</si>
  <si>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</si>
  <si>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</si>
  <si>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</si>
  <si>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</si>
  <si>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</si>
  <si>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</si>
  <si>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</si>
  <si>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</si>
  <si>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</si>
  <si>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</si>
  <si>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</si>
  <si>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</si>
  <si>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</si>
  <si>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</si>
  <si>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</si>
  <si>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</si>
  <si>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</si>
  <si>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</si>
  <si>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</si>
  <si>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</si>
  <si>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</si>
  <si>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</si>
  <si>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</si>
  <si>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</si>
  <si>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</si>
  <si>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</si>
  <si>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</si>
  <si>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</si>
  <si>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</si>
  <si>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</si>
  <si>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</si>
  <si>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</si>
  <si>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</si>
  <si>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</si>
  <si>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</si>
  <si>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</si>
  <si>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</si>
  <si>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</si>
  <si>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</si>
  <si>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</si>
  <si>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</si>
  <si>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</si>
  <si>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</si>
  <si>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</si>
  <si>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</si>
  <si>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</si>
  <si>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</si>
  <si>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</si>
  <si>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</si>
  <si>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</si>
  <si>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</si>
  <si>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</si>
  <si>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</si>
  <si>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</si>
  <si>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</si>
  <si>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</si>
  <si>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</si>
  <si>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</si>
  <si>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</si>
  <si>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</si>
  <si>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</si>
  <si>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</si>
  <si>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</si>
  <si>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</si>
  <si>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</si>
  <si>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</si>
  <si>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</si>
  <si>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</si>
  <si>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</si>
  <si>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</si>
  <si>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</si>
  <si>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</si>
  <si>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</si>
  <si>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</si>
  <si>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</si>
  <si>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</si>
  <si>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</si>
  <si>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</si>
  <si>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</si>
  <si>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</si>
  <si>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</si>
  <si>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</si>
  <si>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</si>
  <si>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</si>
  <si>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</si>
  <si>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</si>
  <si>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</si>
  <si>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</si>
  <si>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</si>
  <si>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</si>
  <si>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</si>
  <si>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</si>
  <si>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</si>
  <si>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</si>
  <si>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</si>
  <si>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</si>
  <si>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</si>
  <si>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</si>
  <si>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</si>
  <si>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</si>
  <si>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</si>
  <si>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</si>
  <si>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</si>
  <si>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</si>
  <si>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</si>
  <si>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</si>
  <si>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</si>
  <si>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</si>
  <si>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</si>
  <si>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</si>
  <si>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</si>
  <si>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</si>
  <si>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</si>
  <si>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</si>
  <si>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</si>
  <si>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</si>
  <si>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</si>
  <si>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</si>
  <si>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</si>
  <si>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</si>
  <si>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</si>
  <si>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</si>
  <si>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</si>
  <si>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</si>
  <si>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</si>
  <si>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</si>
  <si>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</si>
  <si>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</si>
  <si>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</si>
  <si>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</si>
  <si>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</si>
  <si>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</si>
  <si>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</si>
  <si>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</si>
  <si>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</si>
  <si>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</si>
  <si>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</si>
  <si>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</si>
  <si>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</si>
  <si>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</si>
  <si>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</si>
  <si>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</si>
  <si>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</si>
  <si>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</si>
  <si>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</si>
  <si>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</si>
  <si>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</si>
  <si>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</si>
  <si>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</si>
  <si>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</si>
  <si>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</si>
  <si>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</si>
  <si>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</si>
  <si>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</si>
  <si>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</si>
  <si>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</si>
  <si>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</si>
  <si>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</si>
  <si>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</si>
  <si>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</si>
  <si>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</si>
  <si>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</si>
  <si>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</si>
  <si>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</si>
  <si>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</si>
  <si>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</si>
  <si>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</si>
  <si>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</si>
  <si>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</si>
  <si>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</si>
  <si>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</si>
  <si>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</si>
  <si>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</si>
  <si>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</si>
  <si>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</si>
  <si>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</si>
  <si>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</si>
  <si>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</si>
  <si>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</si>
  <si>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</si>
  <si>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</si>
  <si>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</si>
  <si>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</si>
  <si>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</si>
  <si>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</si>
  <si>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</si>
  <si>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</si>
  <si>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</si>
  <si>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</si>
  <si>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</si>
  <si>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</si>
  <si>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</si>
  <si>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</si>
  <si>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</si>
  <si>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</si>
  <si>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</si>
  <si>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</si>
  <si>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</si>
  <si>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</si>
  <si>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</si>
  <si>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</si>
  <si>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</si>
  <si>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</si>
  <si>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</si>
  <si>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</si>
  <si>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</si>
  <si>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</si>
  <si>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</si>
  <si>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</si>
  <si>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</si>
  <si>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</si>
  <si>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</si>
  <si>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</si>
  <si>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</si>
  <si>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</si>
  <si>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</si>
  <si>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</si>
  <si>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</si>
  <si>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</si>
  <si>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</si>
  <si>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</si>
  <si>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</si>
  <si>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</si>
  <si>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</si>
  <si>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</si>
  <si>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</si>
  <si>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</si>
  <si>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</si>
  <si>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</si>
  <si>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</si>
  <si>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</si>
  <si>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</si>
  <si>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</si>
  <si>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</si>
  <si>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</si>
  <si>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</si>
  <si>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</si>
  <si>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</si>
  <si>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</si>
  <si>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</si>
  <si>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</si>
  <si>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</si>
  <si>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</si>
  <si>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</si>
  <si>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</si>
  <si>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</si>
  <si>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</si>
  <si>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</si>
  <si>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</si>
  <si>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</si>
  <si>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</si>
  <si>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</si>
  <si>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</si>
  <si>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</si>
  <si>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</si>
  <si>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</si>
  <si>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</si>
  <si>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</si>
  <si>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</si>
  <si>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</si>
  <si>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</si>
  <si>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</si>
  <si>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</si>
  <si>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</si>
  <si>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</si>
  <si>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</si>
  <si>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</si>
  <si>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</si>
  <si>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</si>
  <si>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</si>
  <si>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</si>
  <si>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</si>
  <si>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</si>
  <si>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</si>
  <si>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</si>
  <si>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</si>
  <si>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</si>
  <si>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</si>
  <si>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</si>
  <si>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</si>
  <si>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</si>
  <si>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</si>
  <si>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</si>
  <si>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</si>
  <si>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</si>
  <si>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</si>
  <si>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</si>
  <si>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</si>
  <si>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</si>
  <si>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</si>
  <si>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</si>
  <si>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</si>
  <si>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</si>
  <si>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</si>
  <si>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</si>
  <si>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</si>
  <si>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</si>
  <si>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</si>
  <si>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</si>
  <si>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</si>
  <si>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</si>
  <si>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</si>
  <si>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</si>
  <si>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</si>
  <si>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</si>
  <si>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</si>
  <si>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</si>
  <si>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</si>
  <si>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</si>
  <si>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</si>
  <si>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</si>
  <si>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</si>
  <si>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</si>
  <si>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</si>
  <si>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</si>
  <si>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</si>
  <si>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</si>
  <si>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</si>
  <si>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</si>
  <si>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</si>
  <si>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</si>
  <si>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</si>
  <si>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</si>
  <si>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</si>
  <si>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</si>
  <si>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</si>
  <si>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</si>
  <si>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</si>
  <si>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</si>
  <si>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</si>
  <si>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</si>
  <si>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</si>
  <si>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</si>
  <si>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</si>
  <si>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</si>
  <si>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</si>
  <si>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</si>
  <si>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</si>
  <si>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</si>
  <si>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</si>
  <si>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</si>
  <si>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</si>
  <si>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</si>
  <si>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</si>
  <si>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</si>
  <si>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</si>
  <si>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</si>
  <si>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</si>
  <si>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</si>
  <si>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</si>
  <si>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</si>
  <si>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</si>
  <si>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</si>
  <si>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</si>
  <si>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</si>
  <si>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</si>
  <si>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</si>
  <si>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</si>
  <si>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</si>
  <si>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</si>
  <si>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</si>
  <si>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</si>
  <si>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</si>
  <si>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</si>
  <si>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</si>
  <si>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</si>
  <si>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</si>
  <si>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</si>
  <si>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</si>
  <si>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</si>
  <si>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</si>
  <si>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</si>
  <si>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</si>
  <si>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</si>
  <si>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</si>
  <si>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</si>
  <si>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</si>
  <si>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</si>
  <si>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</si>
  <si>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</si>
  <si>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</si>
  <si>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</si>
  <si>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</si>
  <si>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</si>
  <si>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</si>
  <si>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</si>
  <si>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</si>
  <si>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</si>
  <si>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</si>
  <si>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</si>
  <si>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</si>
  <si>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</si>
  <si>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</si>
  <si>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</si>
  <si>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</si>
  <si>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</si>
  <si>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</si>
  <si>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</si>
  <si>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</si>
  <si>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</si>
  <si>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</si>
  <si>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</si>
  <si>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</si>
  <si>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</si>
  <si>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</si>
  <si>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</si>
  <si>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</si>
  <si>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</si>
  <si>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</si>
  <si>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</si>
  <si>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</si>
  <si>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</si>
  <si>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</si>
  <si>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</si>
  <si>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</si>
  <si>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</si>
  <si>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</si>
  <si>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</si>
  <si>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</si>
  <si>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</si>
  <si>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</si>
  <si>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</si>
  <si>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</si>
  <si>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</si>
  <si>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</si>
  <si>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</si>
  <si>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</si>
  <si>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</si>
  <si>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</si>
  <si>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</si>
  <si>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</si>
  <si>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</si>
  <si>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</si>
  <si>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</si>
  <si>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</si>
  <si>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</si>
  <si>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</si>
  <si>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</si>
  <si>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</si>
  <si>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</si>
  <si>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</si>
  <si>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</si>
  <si>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</si>
  <si>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</si>
  <si>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</si>
  <si>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</si>
  <si>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</si>
  <si>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</si>
  <si>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</si>
  <si>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</si>
  <si>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</si>
  <si>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</si>
  <si>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</si>
  <si>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</si>
  <si>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</si>
  <si>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</si>
  <si>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</si>
  <si>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</si>
  <si>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</si>
  <si>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</si>
  <si>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</si>
  <si>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</si>
  <si>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</si>
  <si>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</si>
  <si>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</si>
  <si>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</si>
  <si>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</si>
  <si>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</si>
  <si>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</si>
  <si>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</si>
  <si>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</si>
  <si>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</si>
  <si>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</si>
  <si>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</si>
  <si>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</si>
  <si>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</si>
  <si>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</si>
  <si>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</si>
  <si>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</si>
  <si>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</si>
  <si>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</si>
  <si>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</si>
  <si>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</si>
  <si>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</si>
  <si>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</si>
  <si>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</si>
  <si>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</si>
  <si>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</si>
  <si>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</si>
  <si>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</si>
  <si>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</si>
  <si>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</si>
  <si>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</si>
  <si>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</si>
  <si>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</si>
  <si>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</si>
  <si>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</si>
  <si>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</si>
  <si>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</si>
  <si>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</si>
  <si>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</si>
  <si>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</si>
  <si>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</si>
  <si>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</si>
  <si>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</si>
  <si>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</si>
  <si>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</si>
  <si>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</si>
  <si>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</si>
  <si>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</si>
  <si>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</si>
  <si>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</si>
  <si>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</si>
  <si>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</si>
  <si>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</si>
  <si>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</si>
  <si>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</si>
  <si>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</si>
  <si>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</si>
  <si>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</si>
  <si>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</si>
  <si>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</si>
  <si>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</si>
  <si>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</si>
  <si>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</si>
  <si>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</si>
  <si>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</si>
  <si>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</si>
  <si>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</si>
  <si>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</si>
  <si>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</si>
  <si>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</si>
  <si>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</si>
  <si>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</si>
  <si>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</si>
  <si>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</si>
  <si>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</si>
  <si>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</si>
  <si>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</si>
  <si>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</si>
  <si>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</si>
  <si>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</si>
  <si>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</si>
  <si>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</si>
  <si>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</si>
  <si>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</si>
  <si>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</si>
  <si>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</si>
  <si>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</si>
  <si>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</si>
  <si>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</si>
  <si>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</si>
  <si>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</si>
  <si>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</si>
  <si>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</si>
  <si>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</si>
  <si>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</si>
  <si>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</si>
  <si>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</si>
  <si>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</si>
  <si>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</si>
  <si>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</si>
  <si>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</si>
  <si>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</si>
  <si>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</si>
  <si>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</si>
  <si>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</si>
  <si>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</si>
  <si>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</si>
  <si>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</si>
  <si>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</si>
  <si>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</si>
  <si>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</si>
  <si>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</si>
  <si>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</si>
  <si>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</si>
  <si>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</si>
  <si>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</si>
  <si>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</si>
  <si>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</si>
  <si>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</si>
  <si>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</si>
  <si>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</si>
  <si>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</si>
  <si>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</si>
  <si>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</si>
  <si>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</si>
  <si>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</si>
  <si>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</si>
  <si>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</si>
  <si>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</si>
  <si>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</si>
  <si>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</si>
  <si>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</si>
  <si>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</si>
  <si>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</si>
  <si>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</si>
  <si>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</si>
  <si>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</si>
  <si>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</si>
  <si>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</si>
  <si>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</si>
  <si>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</si>
  <si>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</si>
  <si>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</si>
  <si>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</si>
  <si>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</si>
  <si>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</si>
  <si>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</si>
  <si>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</si>
  <si>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</si>
  <si>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</si>
  <si>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</si>
  <si>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</si>
  <si>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</si>
  <si>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</si>
  <si>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</si>
  <si>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</si>
  <si>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</si>
  <si>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</si>
  <si>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</si>
  <si>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</si>
  <si>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</si>
  <si>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</si>
  <si>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</si>
  <si>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</si>
  <si>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</si>
  <si>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</si>
  <si>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</si>
  <si>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</si>
  <si>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</si>
  <si>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</si>
  <si>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</si>
  <si>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</si>
  <si>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</si>
  <si>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</si>
  <si>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</si>
  <si>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</si>
  <si>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</si>
  <si>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</si>
  <si>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</si>
  <si>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</si>
  <si>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</si>
  <si>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</si>
  <si>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</si>
  <si>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</si>
  <si>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</si>
  <si>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</si>
  <si>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</si>
  <si>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</si>
  <si>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</si>
  <si>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</si>
  <si>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</si>
  <si>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</si>
  <si>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</si>
  <si>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</si>
  <si>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</si>
  <si>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</si>
  <si>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</si>
  <si>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</si>
  <si>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</si>
  <si>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</si>
  <si>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</si>
  <si>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</si>
  <si>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</si>
  <si>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</si>
  <si>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</si>
  <si>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</si>
  <si>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</si>
  <si>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</si>
  <si>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</si>
  <si>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</si>
  <si>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</si>
  <si>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</si>
  <si>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</si>
  <si>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</si>
  <si>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</si>
  <si>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</si>
  <si>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</si>
  <si>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</si>
  <si>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</si>
  <si>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</si>
  <si>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</si>
  <si>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</si>
  <si>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</si>
  <si>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</si>
  <si>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</si>
  <si>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</si>
  <si>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</si>
  <si>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</si>
  <si>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</si>
  <si>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</si>
  <si>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</si>
  <si>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</si>
  <si>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</si>
  <si>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</si>
  <si>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</si>
  <si>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</si>
  <si>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</si>
  <si>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</si>
  <si>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</si>
  <si>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</si>
  <si>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</si>
  <si>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</si>
  <si>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</si>
  <si>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</si>
  <si>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</si>
  <si>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</si>
  <si>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</si>
  <si>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</si>
  <si>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</si>
  <si>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</si>
  <si>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</si>
  <si>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</si>
  <si>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</si>
  <si>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</si>
  <si>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</si>
  <si>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</si>
  <si>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</si>
  <si>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</si>
  <si>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</si>
  <si>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</si>
  <si>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</si>
  <si>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</si>
  <si>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</si>
  <si>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</si>
  <si>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</si>
  <si>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</si>
  <si>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</si>
  <si>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</si>
  <si>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</si>
  <si>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</si>
  <si>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</si>
  <si>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</si>
  <si>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</si>
  <si>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</si>
  <si>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</si>
  <si>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</si>
  <si>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</si>
  <si>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</si>
  <si>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</si>
  <si>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</si>
  <si>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</si>
  <si>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</si>
  <si>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</si>
  <si>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</si>
  <si>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</si>
  <si>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</si>
  <si>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</si>
  <si>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</si>
  <si>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</si>
  <si>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</si>
  <si>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</si>
  <si>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</si>
  <si>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</si>
  <si>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</si>
  <si>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</si>
  <si>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</si>
  <si>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</si>
  <si>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</si>
  <si>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</si>
  <si>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</si>
  <si>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</si>
  <si>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</si>
  <si>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</si>
  <si>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</si>
  <si>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</si>
  <si>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</si>
  <si>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</si>
  <si>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</si>
  <si>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</si>
  <si>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</si>
  <si>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</si>
  <si>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</si>
  <si>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</si>
  <si>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</si>
  <si>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</si>
  <si>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</si>
  <si>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</si>
  <si>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</si>
  <si>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</si>
  <si>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</si>
  <si>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</si>
  <si>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</si>
  <si>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</si>
  <si>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</si>
  <si>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</si>
  <si>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</si>
  <si>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</si>
  <si>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</si>
  <si>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</si>
  <si>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</si>
  <si>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</si>
  <si>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</si>
  <si>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</si>
  <si>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</si>
  <si>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</si>
  <si>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</si>
  <si>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</si>
  <si>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</si>
  <si>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</si>
  <si>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</si>
  <si>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</si>
  <si>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</si>
  <si>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</si>
  <si>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</si>
  <si>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</si>
  <si>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</si>
  <si>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</si>
  <si>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</si>
  <si>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</si>
  <si>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</si>
  <si>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</si>
  <si>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</si>
  <si>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</si>
  <si>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</si>
  <si>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</si>
  <si>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</si>
  <si>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</si>
  <si>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</si>
  <si>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</si>
  <si>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</si>
  <si>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</si>
  <si>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</si>
  <si>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</si>
  <si>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</si>
  <si>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</si>
  <si>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</si>
  <si>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</si>
  <si>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</si>
  <si>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</si>
  <si>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</si>
  <si>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</si>
  <si>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</si>
  <si>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</si>
  <si>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</si>
  <si>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</si>
  <si>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</si>
  <si>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</si>
  <si>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</si>
  <si>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</si>
  <si>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</si>
  <si>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</si>
  <si>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</si>
  <si>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</si>
  <si>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</si>
  <si>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</si>
  <si>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</si>
  <si>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</si>
  <si>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</si>
  <si>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</si>
  <si>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</si>
  <si>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</si>
  <si>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</si>
  <si>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</si>
  <si>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</si>
  <si>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</si>
  <si>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</si>
  <si>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</si>
  <si>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</si>
  <si>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</si>
  <si>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</si>
  <si>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</si>
  <si>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</si>
  <si>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</si>
  <si>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</si>
  <si>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</si>
  <si>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</si>
  <si>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</si>
  <si>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</si>
  <si>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</si>
  <si>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</si>
  <si>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</si>
  <si>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</si>
  <si>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</si>
  <si>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</si>
  <si>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</si>
  <si>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</si>
  <si>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</si>
  <si>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</si>
  <si>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</si>
  <si>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</si>
  <si>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</si>
  <si>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</si>
  <si>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</si>
  <si>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</si>
  <si>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</si>
  <si>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</si>
  <si>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</si>
  <si>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</si>
  <si>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</si>
  <si>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</si>
  <si>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</si>
  <si>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</si>
  <si>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</si>
  <si>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</si>
  <si>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</si>
  <si>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</si>
  <si>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</si>
  <si>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</si>
  <si>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</si>
  <si>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</si>
  <si>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</si>
  <si>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</si>
  <si>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</si>
  <si>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</si>
  <si>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</si>
  <si>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</si>
  <si>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</si>
  <si>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</si>
  <si>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</si>
  <si>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</si>
  <si>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</si>
  <si>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</si>
  <si>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</si>
  <si>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</si>
  <si>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</si>
  <si>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</si>
  <si>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</si>
  <si>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</si>
  <si>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</si>
  <si>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</si>
  <si>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</si>
  <si>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</si>
  <si>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</si>
  <si>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</si>
  <si>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</si>
  <si>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</si>
  <si>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</si>
  <si>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</si>
  <si>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</si>
  <si>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</si>
  <si>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</si>
  <si>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</si>
  <si>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</si>
  <si>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</si>
  <si>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</si>
  <si>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</si>
  <si>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</si>
  <si>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</si>
  <si>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</si>
  <si>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</si>
  <si>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</si>
  <si>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</si>
  <si>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</si>
  <si>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</si>
  <si>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</si>
  <si>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</si>
  <si>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</si>
  <si>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</si>
  <si>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</si>
  <si>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</si>
  <si>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</si>
  <si>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</si>
  <si>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</si>
  <si>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</si>
  <si>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</si>
  <si>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</si>
  <si>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</si>
  <si>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</si>
  <si>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</si>
  <si>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</si>
  <si>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</si>
  <si>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</si>
  <si>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</si>
  <si>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</si>
  <si>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</si>
  <si>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</si>
  <si>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</si>
  <si>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</si>
  <si>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</si>
  <si>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</si>
  <si>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</si>
  <si>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</si>
  <si>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</si>
  <si>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</si>
  <si>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</si>
  <si>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</si>
  <si>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</si>
  <si>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</si>
  <si>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</si>
  <si>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</si>
  <si>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</si>
  <si>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</si>
  <si>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</si>
  <si>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</si>
  <si>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</si>
  <si>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</si>
  <si>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</si>
  <si>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</si>
  <si>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</si>
  <si>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</si>
  <si>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</si>
  <si>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</si>
  <si>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</si>
  <si>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</si>
  <si>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</si>
  <si>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</si>
  <si>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</si>
  <si>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</si>
  <si>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</si>
  <si>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</si>
  <si>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</si>
  <si>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</si>
  <si>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</si>
  <si>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</si>
  <si>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</si>
  <si>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</si>
  <si>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</si>
  <si>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</si>
  <si>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</si>
  <si>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</si>
  <si>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</si>
  <si>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</si>
  <si>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</si>
  <si>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</si>
  <si>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</si>
  <si>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</si>
  <si>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</si>
  <si>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</si>
  <si>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</si>
  <si>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</si>
  <si>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</si>
  <si>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</si>
  <si>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</si>
  <si>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</si>
  <si>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</si>
  <si>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</si>
  <si>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</si>
  <si>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</si>
  <si>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</si>
  <si>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</si>
  <si>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</si>
  <si>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</si>
  <si>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</si>
  <si>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</si>
  <si>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</si>
  <si>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</si>
  <si>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</si>
  <si>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</si>
  <si>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</si>
  <si>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</si>
  <si>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</si>
  <si>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</si>
  <si>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</si>
  <si>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</si>
  <si>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</si>
  <si>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</si>
  <si>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</si>
  <si>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</si>
  <si>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</si>
  <si>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</si>
  <si>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</si>
  <si>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</si>
  <si>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</si>
  <si>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</si>
  <si>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</si>
  <si>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</si>
  <si>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</si>
  <si>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</si>
  <si>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</si>
  <si>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</si>
  <si>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</si>
  <si>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</si>
  <si>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</si>
  <si>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</si>
  <si>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</si>
  <si>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</si>
  <si>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</si>
  <si>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</si>
  <si>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</si>
  <si>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</si>
  <si>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</si>
  <si>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</si>
  <si>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</si>
  <si>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</si>
  <si>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</si>
  <si>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</si>
  <si>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</si>
  <si>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</si>
  <si>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</si>
  <si>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</si>
  <si>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</si>
  <si>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</si>
  <si>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</si>
  <si>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</si>
  <si>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</si>
  <si>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</si>
  <si>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</si>
  <si>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</si>
  <si>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</si>
  <si>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</si>
  <si>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</si>
  <si>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</si>
  <si>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</si>
  <si>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</si>
  <si>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</si>
  <si>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</si>
  <si>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</si>
  <si>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</si>
  <si>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</si>
  <si>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</si>
  <si>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</si>
  <si>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</si>
  <si>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</si>
  <si>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</si>
  <si>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</si>
  <si>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</si>
  <si>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</si>
  <si>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</si>
  <si>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</si>
  <si>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</si>
  <si>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</si>
  <si>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</si>
  <si>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</si>
  <si>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</si>
  <si>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</si>
  <si>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</si>
  <si>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</si>
  <si>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</si>
  <si>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</si>
  <si>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</si>
  <si>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</si>
  <si>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</si>
  <si>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</si>
  <si>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</si>
  <si>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</si>
  <si>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</si>
  <si>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</si>
  <si>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</si>
  <si>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</si>
  <si>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</si>
  <si>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</si>
  <si>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</si>
  <si>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</si>
  <si>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</si>
  <si>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</si>
  <si>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</si>
  <si>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</si>
  <si>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</si>
  <si>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</si>
  <si>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</si>
  <si>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</si>
  <si>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</si>
  <si>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</si>
  <si>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</si>
  <si>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</si>
  <si>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</si>
  <si>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</si>
  <si>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</si>
  <si>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</si>
  <si>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</si>
  <si>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</si>
  <si>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</si>
  <si>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</si>
  <si>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</si>
  <si>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</si>
  <si>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</si>
  <si>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</si>
  <si>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</si>
  <si>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</si>
  <si>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</si>
  <si>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</si>
  <si>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</si>
  <si>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</si>
  <si>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</si>
  <si>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</si>
  <si>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</si>
  <si>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</si>
  <si>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</si>
  <si>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</si>
  <si>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</si>
  <si>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</si>
  <si>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</si>
  <si>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</si>
  <si>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</si>
  <si>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</si>
  <si>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</si>
  <si>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</si>
  <si>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</si>
  <si>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</si>
  <si>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</si>
  <si>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</si>
  <si>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</si>
  <si>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</si>
  <si>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</si>
  <si>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</si>
  <si>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</si>
  <si>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</si>
  <si>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</si>
  <si>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</si>
  <si>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</si>
  <si>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</si>
  <si>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</si>
  <si>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</si>
  <si>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</si>
  <si>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</si>
  <si>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</si>
  <si>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</si>
  <si>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</si>
  <si>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</si>
  <si>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</si>
  <si>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</si>
  <si>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</si>
  <si>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</si>
  <si>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</si>
  <si>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</si>
  <si>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</si>
  <si>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</si>
  <si>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</si>
  <si>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</si>
  <si>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</si>
  <si>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</si>
  <si>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</si>
  <si>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</si>
  <si>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</si>
  <si>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</si>
  <si>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</si>
  <si>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</si>
  <si>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</si>
  <si>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</si>
  <si>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</si>
  <si>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</si>
  <si>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</si>
  <si>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</si>
  <si>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</si>
  <si>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</si>
  <si>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</si>
  <si>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</si>
  <si>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</si>
  <si>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</si>
  <si>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</si>
  <si>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</si>
  <si>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</si>
  <si>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</si>
  <si>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</si>
  <si>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</si>
  <si>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</si>
  <si>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</si>
  <si>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</si>
  <si>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</si>
  <si>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</si>
  <si>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</si>
  <si>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</si>
  <si>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</si>
  <si>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</si>
  <si>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</si>
  <si>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</si>
  <si>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</si>
  <si>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</si>
  <si>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</si>
  <si>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</si>
  <si>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</si>
  <si>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</si>
  <si>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</si>
  <si>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</si>
  <si>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</si>
  <si>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</si>
  <si>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</si>
  <si>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</si>
  <si>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</si>
  <si>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</si>
  <si>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</si>
  <si>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</si>
  <si>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</si>
  <si>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</si>
  <si>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</si>
  <si>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</si>
  <si>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</si>
  <si>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</si>
  <si>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</si>
  <si>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</si>
  <si>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</si>
  <si>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</si>
  <si>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</si>
  <si>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</si>
  <si>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</si>
  <si>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</si>
  <si>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</si>
  <si>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</si>
  <si>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</si>
  <si>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</si>
  <si>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</si>
  <si>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</si>
  <si>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</si>
  <si>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</si>
  <si>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</si>
  <si>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</si>
  <si>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</si>
  <si>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</si>
  <si>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</si>
  <si>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</si>
  <si>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</si>
  <si>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</si>
  <si>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</si>
  <si>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</si>
  <si>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</si>
  <si>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</si>
  <si>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</si>
  <si>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</si>
  <si>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</si>
  <si>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</si>
  <si>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</si>
  <si>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</si>
  <si>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</si>
  <si>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</si>
  <si>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</si>
  <si>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</si>
  <si>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</si>
  <si>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</si>
  <si>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</si>
  <si>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</si>
  <si>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</si>
  <si>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</si>
  <si>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</si>
  <si>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</si>
  <si>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</si>
  <si>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</si>
  <si>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</si>
  <si>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</si>
  <si>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</si>
  <si>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</si>
  <si>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</si>
  <si>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</si>
  <si>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</si>
  <si>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</si>
  <si>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</si>
  <si>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</si>
  <si>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</si>
  <si>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</si>
  <si>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</si>
  <si>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</si>
  <si>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</si>
  <si>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</si>
  <si>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</si>
  <si>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</si>
  <si>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</si>
  <si>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</si>
  <si>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</si>
  <si>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</si>
  <si>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</si>
  <si>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</si>
  <si>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</si>
  <si>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</si>
  <si>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</si>
  <si>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</si>
  <si>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</si>
  <si>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</si>
  <si>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</si>
  <si>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</si>
  <si>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</si>
  <si>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</si>
  <si>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</si>
  <si>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</si>
  <si>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</si>
  <si>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</si>
  <si>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</si>
  <si>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</si>
  <si>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</si>
  <si>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</si>
  <si>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</si>
  <si>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</si>
  <si>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</si>
  <si>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</si>
  <si>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</si>
  <si>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</si>
  <si>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</si>
  <si>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</si>
  <si>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</si>
  <si>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</si>
  <si>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</si>
  <si>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</si>
  <si>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</si>
  <si>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</si>
  <si>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</si>
  <si>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</si>
  <si>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</si>
  <si>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</si>
  <si>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</si>
  <si>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</si>
  <si>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</si>
  <si>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</si>
  <si>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</si>
  <si>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</si>
  <si>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</si>
  <si>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</si>
  <si>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</si>
  <si>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</si>
  <si>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</si>
  <si>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</si>
  <si>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</si>
  <si>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</si>
  <si>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</si>
  <si>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</si>
  <si>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</si>
  <si>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</si>
  <si>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</si>
  <si>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</si>
  <si>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</si>
  <si>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</si>
  <si>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</si>
  <si>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</si>
  <si>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</si>
  <si>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</si>
  <si>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</si>
  <si>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</si>
  <si>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</si>
  <si>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</si>
  <si>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</si>
  <si>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</si>
  <si>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</si>
  <si>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</si>
  <si>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</si>
  <si>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</si>
  <si>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</si>
  <si>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</si>
  <si>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</si>
  <si>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</si>
  <si>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</si>
  <si>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</si>
  <si>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</si>
  <si>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</si>
  <si>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</si>
  <si>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</si>
  <si>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</si>
  <si>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</si>
  <si>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</si>
  <si>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</si>
  <si>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</si>
  <si>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</si>
  <si>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</si>
  <si>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</si>
  <si>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</si>
  <si>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</si>
  <si>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</si>
  <si>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</si>
  <si>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</si>
  <si>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</si>
  <si>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</si>
  <si>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</si>
  <si>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</si>
  <si>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</si>
  <si>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</si>
  <si>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</si>
  <si>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</si>
  <si>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</si>
  <si>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</si>
  <si>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</si>
  <si>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</si>
  <si>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</si>
  <si>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</si>
  <si>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</si>
  <si>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</si>
  <si>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</si>
  <si>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</si>
  <si>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</si>
  <si>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</si>
  <si>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</si>
  <si>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</si>
  <si>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</si>
  <si>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</si>
  <si>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</si>
  <si>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</si>
  <si>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</si>
  <si>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</si>
  <si>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</si>
  <si>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</si>
  <si>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</si>
  <si>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</si>
  <si>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</si>
  <si>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</si>
  <si>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</si>
  <si>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</si>
  <si>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</si>
  <si>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</si>
  <si>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</si>
  <si>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</si>
  <si>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</si>
  <si>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</si>
  <si>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</si>
  <si>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</si>
  <si>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</si>
  <si>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</si>
  <si>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</si>
  <si>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</si>
  <si>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</si>
  <si>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</si>
  <si>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</si>
  <si>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</si>
  <si>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</si>
  <si>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</si>
  <si>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</si>
  <si>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</si>
  <si>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</si>
  <si>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</si>
  <si>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</si>
  <si>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</si>
  <si>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</si>
  <si>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</si>
  <si>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</si>
  <si>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</si>
  <si>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</si>
  <si>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</si>
  <si>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</si>
  <si>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</si>
  <si>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</si>
  <si>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</si>
  <si>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</si>
  <si>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</si>
  <si>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</si>
  <si>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</si>
  <si>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</si>
  <si>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</si>
  <si>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</si>
  <si>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</si>
  <si>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</si>
  <si>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</si>
  <si>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</si>
  <si>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</si>
  <si>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</si>
  <si>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</si>
  <si>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</si>
  <si>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</si>
  <si>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</si>
  <si>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</si>
  <si>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</si>
  <si>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</si>
  <si>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</si>
  <si>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</si>
  <si>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</si>
  <si>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</si>
  <si>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</si>
  <si>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</si>
  <si>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</si>
  <si>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</si>
  <si>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</si>
  <si>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</si>
  <si>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</si>
  <si>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</si>
  <si>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</si>
  <si>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</si>
  <si>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</si>
  <si>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</si>
  <si>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</si>
  <si>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</si>
  <si>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</si>
  <si>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</si>
  <si>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</si>
  <si>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</si>
  <si>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</si>
  <si>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</si>
  <si>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</si>
  <si>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</si>
  <si>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</si>
  <si>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</si>
  <si>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</si>
  <si>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</si>
  <si>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</si>
  <si>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</si>
  <si>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</si>
  <si>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</si>
  <si>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</si>
  <si>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</si>
  <si>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</si>
  <si>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</si>
  <si>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</si>
  <si>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</si>
  <si>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</si>
  <si>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</si>
  <si>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</si>
  <si>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</si>
  <si>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</si>
  <si>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</si>
  <si>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</si>
  <si>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</si>
  <si>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</si>
  <si>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</si>
  <si>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</si>
  <si>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</si>
  <si>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</si>
  <si>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</si>
  <si>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</si>
  <si>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</si>
  <si>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</si>
  <si>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</si>
  <si>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</si>
  <si>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</si>
  <si>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</si>
  <si>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</si>
  <si>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</si>
  <si>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</si>
  <si>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</si>
  <si>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</si>
  <si>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</si>
  <si>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</si>
  <si>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</si>
  <si>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</si>
  <si>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</si>
  <si>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</si>
  <si>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</si>
  <si>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</si>
  <si>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</si>
  <si>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</si>
  <si>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</si>
  <si>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</si>
  <si>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</si>
  <si>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</si>
  <si>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</si>
  <si>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</si>
  <si>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</si>
  <si>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</si>
  <si>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</si>
  <si>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</si>
  <si>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</si>
  <si>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</si>
  <si>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</si>
  <si>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</si>
  <si>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</si>
  <si>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</si>
  <si>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</si>
  <si>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</si>
  <si>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</si>
  <si>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</si>
  <si>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</si>
  <si>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</si>
  <si>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</si>
  <si>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</si>
  <si>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</si>
  <si>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</si>
  <si>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</si>
  <si>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</si>
  <si>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</si>
  <si>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</si>
  <si>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</si>
  <si>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</si>
  <si>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</si>
  <si>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</si>
  <si>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</si>
  <si>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</si>
  <si>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</si>
  <si>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</si>
  <si>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</si>
  <si>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</si>
  <si>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</si>
  <si>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</si>
  <si>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</si>
  <si>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</si>
  <si>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</si>
  <si>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</si>
  <si>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</si>
  <si>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</si>
  <si>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</si>
  <si>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</si>
  <si>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</si>
  <si>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</si>
  <si>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</si>
  <si>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</si>
  <si>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</si>
  <si>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</si>
  <si>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</si>
  <si>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</si>
  <si>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</si>
  <si>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</si>
  <si>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</si>
  <si>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</si>
  <si>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</si>
  <si>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</si>
  <si>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</si>
  <si>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</si>
  <si>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</si>
  <si>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</si>
  <si>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</si>
  <si>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</si>
  <si>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</si>
  <si>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</si>
  <si>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</si>
  <si>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</si>
  <si>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</si>
  <si>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</si>
  <si>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</si>
  <si>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</si>
  <si>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</si>
  <si>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</si>
  <si>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</si>
  <si>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</si>
  <si>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</si>
  <si>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</si>
  <si>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</si>
  <si>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</si>
  <si>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</si>
  <si>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</si>
  <si>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</si>
  <si>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</si>
  <si>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</si>
  <si>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</si>
  <si>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</si>
  <si>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</si>
  <si>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</si>
  <si>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</si>
  <si>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</si>
  <si>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</si>
  <si>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</si>
  <si>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</si>
  <si>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</si>
  <si>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</si>
  <si>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</si>
  <si>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</si>
  <si>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</si>
  <si>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</si>
  <si>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</si>
  <si>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</si>
  <si>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</si>
  <si>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</si>
  <si>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</si>
  <si>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</si>
  <si>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</si>
  <si>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</si>
  <si>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</si>
  <si>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</si>
  <si>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</si>
  <si>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</si>
  <si>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</si>
  <si>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</si>
  <si>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</si>
  <si>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</si>
  <si>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</si>
  <si>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</si>
  <si>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</si>
  <si>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</si>
  <si>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</si>
  <si>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</si>
  <si>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</si>
  <si>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</si>
  <si>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</si>
  <si>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</si>
  <si>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</si>
  <si>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</si>
  <si>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</si>
  <si>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</si>
  <si>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</si>
  <si>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</si>
  <si>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</si>
  <si>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</si>
  <si>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</si>
  <si>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</si>
  <si>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</si>
  <si>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</si>
  <si>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</si>
  <si>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</si>
  <si>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</si>
  <si>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</si>
  <si>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</si>
  <si>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</si>
  <si>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</si>
  <si>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</si>
  <si>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</si>
  <si>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</si>
  <si>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</si>
  <si>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</si>
  <si>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</si>
  <si>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</si>
  <si>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</si>
  <si>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</si>
  <si>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</si>
  <si>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</si>
  <si>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</si>
  <si>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</si>
  <si>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</si>
  <si>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</si>
  <si>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</si>
  <si>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</si>
  <si>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</si>
  <si>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</si>
  <si>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</si>
  <si>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</si>
  <si>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</si>
  <si>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</si>
  <si>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</si>
  <si>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</si>
  <si>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</si>
  <si>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</si>
  <si>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</si>
  <si>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</si>
  <si>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</si>
  <si>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</si>
  <si>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</si>
  <si>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</si>
  <si>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</si>
  <si>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</si>
  <si>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</si>
  <si>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</si>
  <si>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</si>
  <si>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</si>
  <si>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</si>
  <si>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</si>
  <si>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</si>
  <si>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</si>
  <si>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</si>
  <si>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</si>
  <si>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</si>
  <si>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</si>
  <si>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</si>
  <si>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</si>
  <si>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</si>
  <si>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</si>
  <si>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</si>
  <si>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</si>
  <si>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</si>
  <si>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</si>
  <si>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</si>
  <si>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</si>
  <si>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</si>
  <si>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</si>
  <si>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</si>
  <si>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</si>
  <si>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</si>
  <si>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</si>
  <si>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</si>
  <si>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</si>
  <si>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</si>
  <si>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</si>
  <si>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</si>
  <si>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</si>
  <si>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</si>
  <si>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</si>
  <si>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</si>
  <si>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</si>
  <si>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</si>
  <si>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</si>
  <si>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</si>
  <si>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</si>
  <si>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</si>
  <si>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</si>
  <si>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</si>
  <si>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</si>
  <si>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</si>
  <si>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</si>
  <si>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</si>
  <si>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</si>
  <si>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</si>
  <si>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</si>
  <si>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</si>
  <si>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</si>
  <si>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</si>
  <si>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</si>
  <si>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</si>
  <si>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</si>
  <si>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</si>
  <si>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</si>
  <si>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</si>
  <si>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</si>
  <si>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</si>
  <si>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</si>
  <si>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</si>
  <si>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</si>
  <si>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</si>
  <si>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</si>
  <si>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</si>
  <si>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</si>
  <si>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</si>
  <si>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</si>
  <si>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</si>
  <si>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</si>
  <si>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</si>
  <si>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</si>
  <si>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</si>
  <si>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</si>
  <si>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</si>
  <si>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</si>
  <si>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</si>
  <si>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</si>
  <si>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</si>
  <si>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</si>
  <si>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</si>
  <si>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</si>
  <si>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</si>
  <si>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</si>
  <si>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</si>
  <si>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</si>
  <si>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</si>
  <si>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</si>
  <si>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</si>
  <si>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</si>
  <si>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</si>
  <si>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</si>
  <si>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</si>
  <si>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</si>
  <si>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</si>
  <si>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</si>
  <si>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</si>
  <si>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</si>
  <si>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</si>
  <si>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</si>
  <si>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</si>
  <si>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</si>
  <si>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</si>
  <si>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</si>
  <si>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</si>
  <si>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</si>
  <si>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</si>
  <si>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</si>
  <si>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</si>
  <si>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</si>
  <si>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</si>
  <si>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</si>
  <si>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</si>
  <si>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</si>
  <si>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</si>
  <si>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</si>
  <si>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</si>
  <si>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</si>
  <si>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</si>
  <si>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</si>
  <si>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</si>
  <si>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</si>
  <si>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</si>
  <si>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</si>
  <si>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</si>
  <si>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</si>
  <si>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</si>
  <si>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</si>
  <si>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</si>
  <si>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</si>
  <si>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</si>
  <si>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</si>
  <si>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</si>
  <si>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</si>
  <si>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</si>
  <si>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</si>
  <si>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</si>
  <si>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</si>
  <si>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</si>
  <si>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</si>
  <si>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</si>
  <si>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</si>
  <si>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</si>
  <si>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</si>
  <si>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</si>
  <si>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</si>
  <si>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</si>
  <si>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</si>
  <si>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</si>
  <si>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</si>
  <si>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</si>
  <si>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</si>
  <si>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</si>
  <si>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</si>
  <si>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</si>
  <si>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</si>
  <si>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</si>
  <si>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</si>
  <si>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</si>
  <si>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</si>
  <si>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</si>
  <si>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</si>
  <si>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</si>
  <si>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</si>
  <si>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</si>
  <si>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</si>
  <si>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</si>
  <si>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</si>
  <si>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</si>
  <si>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</si>
  <si>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</si>
  <si>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</si>
  <si>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</si>
  <si>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</si>
  <si>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</si>
  <si>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</si>
  <si>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</si>
  <si>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</si>
  <si>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</si>
  <si>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</si>
  <si>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</si>
  <si>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</si>
  <si>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</si>
  <si>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</si>
  <si>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</si>
  <si>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</si>
  <si>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</si>
  <si>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</si>
  <si>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</si>
  <si>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</si>
  <si>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</si>
  <si>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</si>
  <si>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</si>
  <si>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</si>
  <si>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</si>
  <si>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</si>
  <si>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</si>
  <si>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</si>
  <si>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</si>
  <si>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</si>
  <si>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</si>
  <si>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</si>
  <si>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</si>
  <si>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</si>
  <si>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</si>
  <si>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</si>
  <si>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</si>
  <si>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</si>
  <si>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</si>
  <si>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</si>
  <si>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</si>
  <si>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</si>
  <si>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</si>
  <si>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</si>
  <si>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</si>
  <si>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</si>
  <si>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</si>
  <si>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</si>
  <si>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</si>
  <si>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</si>
  <si>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</si>
  <si>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</si>
  <si>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</si>
  <si>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</si>
  <si>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</si>
  <si>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</si>
  <si>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</si>
  <si>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</si>
  <si>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</si>
  <si>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</si>
  <si>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</si>
  <si>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</si>
  <si>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</si>
  <si>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</si>
  <si>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</si>
  <si>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</si>
  <si>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</si>
  <si>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</si>
  <si>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</si>
  <si>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</si>
  <si>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</si>
  <si>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</si>
  <si>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</si>
  <si>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</si>
  <si>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</si>
  <si>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</si>
  <si>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</si>
  <si>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</si>
  <si>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</si>
  <si>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</si>
  <si>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</si>
  <si>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</si>
  <si>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</si>
  <si>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</si>
  <si>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</si>
  <si>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</si>
  <si>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</si>
  <si>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</si>
  <si>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</si>
  <si>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</si>
  <si>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</si>
  <si>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</si>
  <si>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</si>
  <si>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</si>
  <si>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</si>
  <si>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</si>
  <si>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</si>
  <si>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</si>
  <si>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</si>
  <si>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</si>
  <si>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</si>
  <si>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</si>
  <si>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</si>
  <si>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</si>
  <si>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</si>
  <si>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</si>
  <si>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</si>
  <si>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</si>
  <si>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</si>
  <si>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</si>
  <si>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</si>
  <si>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</si>
  <si>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</si>
  <si>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</si>
  <si>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</si>
  <si>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</si>
  <si>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</si>
  <si>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</si>
  <si>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</si>
  <si>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</si>
  <si>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</si>
  <si>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</si>
  <si>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</si>
  <si>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</si>
  <si>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</si>
  <si>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</si>
  <si>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</si>
  <si>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</si>
  <si>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</si>
  <si>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</si>
  <si>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</si>
  <si>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</si>
  <si>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</si>
  <si>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</si>
  <si>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</si>
  <si>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</si>
  <si>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</si>
  <si>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</si>
  <si>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</si>
  <si>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</si>
  <si>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</si>
  <si>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</si>
  <si>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</si>
  <si>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</si>
  <si>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</si>
  <si>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</si>
  <si>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</si>
  <si>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</si>
  <si>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</si>
  <si>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</si>
  <si>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</si>
  <si>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</si>
  <si>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</si>
  <si>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</si>
  <si>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</si>
  <si>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</si>
  <si>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</si>
  <si>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</si>
  <si>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</si>
  <si>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</si>
  <si>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</si>
  <si>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</si>
  <si>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</si>
  <si>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</si>
  <si>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</si>
  <si>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</si>
  <si>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</si>
  <si>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</si>
  <si>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</si>
  <si>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</si>
  <si>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</si>
  <si>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</si>
  <si>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</si>
  <si>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</si>
  <si>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</si>
  <si>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</si>
  <si>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</si>
  <si>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</si>
  <si>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</si>
  <si>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</si>
  <si>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</si>
  <si>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</si>
  <si>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</si>
  <si>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</si>
  <si>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</si>
  <si>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</si>
  <si>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</si>
  <si>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</si>
  <si>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</si>
  <si>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</si>
  <si>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</si>
  <si>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</si>
  <si>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</si>
  <si>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</si>
  <si>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</si>
  <si>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</si>
  <si>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</si>
  <si>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</si>
  <si>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</si>
  <si>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</si>
  <si>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</si>
  <si>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</si>
  <si>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</si>
  <si>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</si>
  <si>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</si>
  <si>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</si>
  <si>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</si>
  <si>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</si>
  <si>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</si>
  <si>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</si>
  <si>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</si>
  <si>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</si>
  <si>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</si>
  <si>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</si>
  <si>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</si>
  <si>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</si>
  <si>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</si>
  <si>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</si>
  <si>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</si>
  <si>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</si>
  <si>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</si>
  <si>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</si>
  <si>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</si>
  <si>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</si>
  <si>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</si>
  <si>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</si>
  <si>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</si>
  <si>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</si>
  <si>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</si>
  <si>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</si>
  <si>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</si>
  <si>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</si>
  <si>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</si>
  <si>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</si>
  <si>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</si>
  <si>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</si>
  <si>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</si>
  <si>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</si>
  <si>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</si>
  <si>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</si>
  <si>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</si>
  <si>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</si>
  <si>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</si>
  <si>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</si>
  <si>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</si>
  <si>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</si>
  <si>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</si>
  <si>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</si>
  <si>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</si>
  <si>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</si>
  <si>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</si>
  <si>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</si>
  <si>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</si>
  <si>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</si>
  <si>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</si>
  <si>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</si>
  <si>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</si>
  <si>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</si>
  <si>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</si>
  <si>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</si>
  <si>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</si>
  <si>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</si>
  <si>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</si>
  <si>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</si>
  <si>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</si>
  <si>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</si>
  <si>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</si>
  <si>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</si>
  <si>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</si>
  <si>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</si>
  <si>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</si>
  <si>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</si>
  <si>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</si>
  <si>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</si>
  <si>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</si>
  <si>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</si>
  <si>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</si>
  <si>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</si>
  <si>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</si>
  <si>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</si>
  <si>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</si>
  <si>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</si>
  <si>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</si>
  <si>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</si>
  <si>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</si>
  <si>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</si>
  <si>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</si>
  <si>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</si>
  <si>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</si>
  <si>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</si>
  <si>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</si>
  <si>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</si>
  <si>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</si>
  <si>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</si>
  <si>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</si>
  <si>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</si>
  <si>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</si>
  <si>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</si>
  <si>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</si>
  <si>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</si>
  <si>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</si>
  <si>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</si>
  <si>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</si>
  <si>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</si>
  <si>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</si>
  <si>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</si>
  <si>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</si>
  <si>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</si>
  <si>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</si>
  <si>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</si>
  <si>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</si>
  <si>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</si>
  <si>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</si>
  <si>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</si>
  <si>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</si>
  <si>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</si>
  <si>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</si>
  <si>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</si>
  <si>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</si>
  <si>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</si>
  <si>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</si>
  <si>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</si>
  <si>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</si>
  <si>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</si>
  <si>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</si>
  <si>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</si>
  <si>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</si>
  <si>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</si>
  <si>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</si>
  <si>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</si>
  <si>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</si>
  <si>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</si>
  <si>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</si>
  <si>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</si>
  <si>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</si>
  <si>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</si>
  <si>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</si>
  <si>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</si>
  <si>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</si>
  <si>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</si>
  <si>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</si>
  <si>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</si>
  <si>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</si>
  <si>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</si>
  <si>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</si>
  <si>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</si>
  <si>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</si>
  <si>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</si>
  <si>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</si>
  <si>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</si>
  <si>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</si>
  <si>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</si>
  <si>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</si>
  <si>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</si>
  <si>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</si>
  <si>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</si>
  <si>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</si>
  <si>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</si>
  <si>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</si>
  <si>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</si>
  <si>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</si>
  <si>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</si>
  <si>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</si>
  <si>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</si>
  <si>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</si>
  <si>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</si>
  <si>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</si>
  <si>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</si>
  <si>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</si>
  <si>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</si>
  <si>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</si>
  <si>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</si>
  <si>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</si>
  <si>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</si>
  <si>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</si>
  <si>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</si>
  <si>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</si>
  <si>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</si>
  <si>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</si>
  <si>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</si>
  <si>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</si>
  <si>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</si>
  <si>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</si>
  <si>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</si>
  <si>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</si>
  <si>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</si>
  <si>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</si>
  <si>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</si>
  <si>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</si>
  <si>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</si>
  <si>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</si>
  <si>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</si>
  <si>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</si>
  <si>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</si>
  <si>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</si>
  <si>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</si>
  <si>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</si>
  <si>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</si>
  <si>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</si>
  <si>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</si>
  <si>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</si>
  <si>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</si>
  <si>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</si>
  <si>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</si>
  <si>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</si>
  <si>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</si>
  <si>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</si>
  <si>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</si>
  <si>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</si>
  <si>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</si>
  <si>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</si>
  <si>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</si>
  <si>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</si>
  <si>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</si>
  <si>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</si>
  <si>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</si>
  <si>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</si>
  <si>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</si>
  <si>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</si>
  <si>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</si>
  <si>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</si>
  <si>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</si>
  <si>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</si>
  <si>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</si>
  <si>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</si>
  <si>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</si>
  <si>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</si>
  <si>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</si>
  <si>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</si>
  <si>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</si>
  <si>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</si>
  <si>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</si>
  <si>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</si>
  <si>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</si>
  <si>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</si>
  <si>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</si>
  <si>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</si>
  <si>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</si>
  <si>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</si>
  <si>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</si>
  <si>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</si>
  <si>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</si>
  <si>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</si>
  <si>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</si>
  <si>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</si>
  <si>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</si>
  <si>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</si>
  <si>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</si>
  <si>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</si>
  <si>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</si>
  <si>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</si>
  <si>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</si>
  <si>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</si>
  <si>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</si>
  <si>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</si>
  <si>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</si>
  <si>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</si>
  <si>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</si>
  <si>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</si>
  <si>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</si>
  <si>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</si>
  <si>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</si>
  <si>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</si>
  <si>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</si>
  <si>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</si>
  <si>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</si>
  <si>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</si>
  <si>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</si>
  <si>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</si>
  <si>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</si>
  <si>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</si>
  <si>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</si>
  <si>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</si>
  <si>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</si>
  <si>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</si>
  <si>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</si>
  <si>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</si>
  <si>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</si>
  <si>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</si>
  <si>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</si>
  <si>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</si>
  <si>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</si>
  <si>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</si>
  <si>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</si>
  <si>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</si>
  <si>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</si>
  <si>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</si>
  <si>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</si>
  <si>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</si>
  <si>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</si>
  <si>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</si>
  <si>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</si>
  <si>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</si>
  <si>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</si>
  <si>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</si>
  <si>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</si>
  <si>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</si>
  <si>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</si>
  <si>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</si>
  <si>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</si>
  <si>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</si>
  <si>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</si>
  <si>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</si>
  <si>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</si>
  <si>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</si>
  <si>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</si>
  <si>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</si>
  <si>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</si>
  <si>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</si>
  <si>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</si>
  <si>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</si>
  <si>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</si>
  <si>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</si>
  <si>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</si>
  <si>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</si>
  <si>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</si>
  <si>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</si>
  <si>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</si>
  <si>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</si>
  <si>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</si>
  <si>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</si>
  <si>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</si>
  <si>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</si>
  <si>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</si>
  <si>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</si>
  <si>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</si>
  <si>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</si>
  <si>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</si>
  <si>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</si>
  <si>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</si>
  <si>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</si>
  <si>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</si>
  <si>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</si>
  <si>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</si>
  <si>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</si>
  <si>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</si>
  <si>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</si>
  <si>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</si>
  <si>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</si>
  <si>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</si>
  <si>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</si>
  <si>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</si>
  <si>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</si>
  <si>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</si>
  <si>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</si>
  <si>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</si>
  <si>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</si>
  <si>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</si>
  <si>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</si>
  <si>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</si>
  <si>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</si>
  <si>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</si>
  <si>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</si>
  <si>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</si>
  <si>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</si>
  <si>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</si>
  <si>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</si>
  <si>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</si>
  <si>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</si>
  <si>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</si>
  <si>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</si>
  <si>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</si>
  <si>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</si>
  <si>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</si>
  <si>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</si>
  <si>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</si>
  <si>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</si>
  <si>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</si>
  <si>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</si>
  <si>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</si>
  <si>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</si>
  <si>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</si>
  <si>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</si>
  <si>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</si>
  <si>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</si>
  <si>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</si>
  <si>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</si>
  <si>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</si>
  <si>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</si>
  <si>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</si>
  <si>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</si>
  <si>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</si>
  <si>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</si>
  <si>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</si>
  <si>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</si>
  <si>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</si>
  <si>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</si>
  <si>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</si>
  <si>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</si>
  <si>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</si>
  <si>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</si>
  <si>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</si>
  <si>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</si>
  <si>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</si>
  <si>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</si>
  <si>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</si>
  <si>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</si>
  <si>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</si>
  <si>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</si>
  <si>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</si>
  <si>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</si>
  <si>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</si>
  <si>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</si>
  <si>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</si>
  <si>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</si>
  <si>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</si>
  <si>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</si>
  <si>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</si>
  <si>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</si>
  <si>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</si>
  <si>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</si>
  <si>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</si>
  <si>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</si>
  <si>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</si>
  <si>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</si>
  <si>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</si>
  <si>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</si>
  <si>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</si>
  <si>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</si>
  <si>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</si>
  <si>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</si>
  <si>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</si>
  <si>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</si>
  <si>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</si>
  <si>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</si>
  <si>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</si>
  <si>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</si>
  <si>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</si>
  <si>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</si>
  <si>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</si>
  <si>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</si>
  <si>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</si>
  <si>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</si>
  <si>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</si>
  <si>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</si>
  <si>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</si>
  <si>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</si>
  <si>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</si>
  <si>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</si>
  <si>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</si>
  <si>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</si>
  <si>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</si>
  <si>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</si>
  <si>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</si>
  <si>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</si>
  <si>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</si>
  <si>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</si>
  <si>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</si>
  <si>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</si>
  <si>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</si>
  <si>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</si>
  <si>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</si>
  <si>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</si>
  <si>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</si>
  <si>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</si>
  <si>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</si>
  <si>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</si>
  <si>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</si>
  <si>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</si>
  <si>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</si>
  <si>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</si>
  <si>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</si>
  <si>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</si>
  <si>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</si>
  <si>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</si>
  <si>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</si>
  <si>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</si>
  <si>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</si>
  <si>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</si>
  <si>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</si>
  <si>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</si>
  <si>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</si>
  <si>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</si>
  <si>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</si>
  <si>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</si>
  <si>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</si>
  <si>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</si>
  <si>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</si>
  <si>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</si>
  <si>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</si>
  <si>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</si>
  <si>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</si>
  <si>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</si>
  <si>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</si>
  <si>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</si>
  <si>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</si>
  <si>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</si>
  <si>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</si>
  <si>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</si>
  <si>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</si>
  <si>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</si>
  <si>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</si>
  <si>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</si>
  <si>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</si>
  <si>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</si>
  <si>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</si>
  <si>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</si>
  <si>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</si>
  <si>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</si>
  <si>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</si>
  <si>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</si>
  <si>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</si>
  <si>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</si>
  <si>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</si>
  <si>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</si>
  <si>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</si>
  <si>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</si>
  <si>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</si>
  <si>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</si>
  <si>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</si>
  <si>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</si>
  <si>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</si>
  <si>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</si>
  <si>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</si>
  <si>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</si>
  <si>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</si>
  <si>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</si>
  <si>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</si>
  <si>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</si>
  <si>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</si>
  <si>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</si>
  <si>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</si>
  <si>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</si>
  <si>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</si>
  <si>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</si>
  <si>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</si>
  <si>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</si>
  <si>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</si>
  <si>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</si>
  <si>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</si>
  <si>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</si>
  <si>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</si>
  <si>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</si>
  <si>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</si>
  <si>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</si>
  <si>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</si>
  <si>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</si>
  <si>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</si>
  <si>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</si>
  <si>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</si>
  <si>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</si>
  <si>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</si>
  <si>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</si>
  <si>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</si>
  <si>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</si>
  <si>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</si>
  <si>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</si>
  <si>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</si>
  <si>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</si>
  <si>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</si>
  <si>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</si>
  <si>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</si>
  <si>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</si>
  <si>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</si>
  <si>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</si>
  <si>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</si>
  <si>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</si>
  <si>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</si>
  <si>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</si>
  <si>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</si>
  <si>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</si>
  <si>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</si>
  <si>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</si>
  <si>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</si>
  <si>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</si>
  <si>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</si>
  <si>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</si>
  <si>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</si>
  <si>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</si>
  <si>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</si>
  <si>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</si>
  <si>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</si>
  <si>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</si>
  <si>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</si>
  <si>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</si>
  <si>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</si>
  <si>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</si>
  <si>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</si>
  <si>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</si>
  <si>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</si>
  <si>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</si>
  <si>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</si>
  <si>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</si>
  <si>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</si>
  <si>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</si>
  <si>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</si>
  <si>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</si>
  <si>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</si>
  <si>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</si>
  <si>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</si>
  <si>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</si>
  <si>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</si>
  <si>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</si>
  <si>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</si>
  <si>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</si>
  <si>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</si>
  <si>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</si>
  <si>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</si>
  <si>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</si>
  <si>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</si>
  <si>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</si>
  <si>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</si>
  <si>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</si>
  <si>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</si>
  <si>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</si>
  <si>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</si>
  <si>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</si>
  <si>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</si>
  <si>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</si>
  <si>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</si>
  <si>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</si>
  <si>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</si>
  <si>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</si>
  <si>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</si>
  <si>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</si>
  <si>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</si>
  <si>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</si>
  <si>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</si>
  <si>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</si>
  <si>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</si>
  <si>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</si>
  <si>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</si>
  <si>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</si>
  <si>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</si>
  <si>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</si>
  <si>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</si>
  <si>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</si>
  <si>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</si>
  <si>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</si>
  <si>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</si>
  <si>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</si>
  <si>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</si>
  <si>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</si>
  <si>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</si>
  <si>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</si>
  <si>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</si>
  <si>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</si>
  <si>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</si>
  <si>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</si>
  <si>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</si>
  <si>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</si>
  <si>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</si>
  <si>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</si>
  <si>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</si>
  <si>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</si>
  <si>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</si>
  <si>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</si>
  <si>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</si>
  <si>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</si>
  <si>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</si>
  <si>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</si>
  <si>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</si>
  <si>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</si>
  <si>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</si>
  <si>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</si>
  <si>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</si>
  <si>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</si>
  <si>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</si>
  <si>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</si>
  <si>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</si>
  <si>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</si>
  <si>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</si>
  <si>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</si>
  <si>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</si>
  <si>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</si>
  <si>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</si>
  <si>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</si>
  <si>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</si>
  <si>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</si>
  <si>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</si>
  <si>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</si>
  <si>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</si>
  <si>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</si>
  <si>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</si>
  <si>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</si>
  <si>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</si>
  <si>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</si>
  <si>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</si>
  <si>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</si>
  <si>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</si>
  <si>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</si>
  <si>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</si>
  <si>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</si>
  <si>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</si>
  <si>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</si>
  <si>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</si>
  <si>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</si>
  <si>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</si>
  <si>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</si>
  <si>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</si>
  <si>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</si>
  <si>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</si>
  <si>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</si>
  <si>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</si>
  <si>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</si>
  <si>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</si>
  <si>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</si>
  <si>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</si>
  <si>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</si>
  <si>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</si>
  <si>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</si>
  <si>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</si>
  <si>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</si>
  <si>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</si>
  <si>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</si>
  <si>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</si>
  <si>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</si>
  <si>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</si>
  <si>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</si>
  <si>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</si>
  <si>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</si>
  <si>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</si>
  <si>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</si>
  <si>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</si>
  <si>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</si>
  <si>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</si>
  <si>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</si>
  <si>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</si>
  <si>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</si>
  <si>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</si>
  <si>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</si>
  <si>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</si>
  <si>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</si>
  <si>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</si>
  <si>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</si>
  <si>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</si>
  <si>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</si>
  <si>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</si>
  <si>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</si>
  <si>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</si>
  <si>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</si>
  <si>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</si>
  <si>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</si>
  <si>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</si>
  <si>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</si>
  <si>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</si>
  <si>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</si>
  <si>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</si>
  <si>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</si>
  <si>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</si>
  <si>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</si>
  <si>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</si>
  <si>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</si>
  <si>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</si>
  <si>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</si>
  <si>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</si>
  <si>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</si>
  <si>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</si>
  <si>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</si>
  <si>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</si>
  <si>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</si>
  <si>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</si>
  <si>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</si>
  <si>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</si>
  <si>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</si>
  <si>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</si>
  <si>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</si>
  <si>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</si>
  <si>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</si>
  <si>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</si>
  <si>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</si>
  <si>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</si>
  <si>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</si>
  <si>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</si>
  <si>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</si>
  <si>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</si>
  <si>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</si>
  <si>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</si>
  <si>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</si>
  <si>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</si>
  <si>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</si>
  <si>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</si>
  <si>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</si>
  <si>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</si>
  <si>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</si>
  <si>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</si>
  <si>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</si>
  <si>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</si>
  <si>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</si>
  <si>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</si>
  <si>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</si>
  <si>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</si>
  <si>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</si>
  <si>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</si>
  <si>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</si>
  <si>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</si>
  <si>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</si>
  <si>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</si>
  <si>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</si>
  <si>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</si>
  <si>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</si>
  <si>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</si>
  <si>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</si>
  <si>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</si>
  <si>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</si>
  <si>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</si>
  <si>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</si>
  <si>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</si>
  <si>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</si>
  <si>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</si>
  <si>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</si>
  <si>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</si>
  <si>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</si>
  <si>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</si>
  <si>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</si>
  <si>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</si>
  <si>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</si>
  <si>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</si>
  <si>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</si>
  <si>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</si>
  <si>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</si>
  <si>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</si>
  <si>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</si>
  <si>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</si>
  <si>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</si>
  <si>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</si>
  <si>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</si>
  <si>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</si>
  <si>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</si>
  <si>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</si>
  <si>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</si>
  <si>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</si>
  <si>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</si>
  <si>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</si>
  <si>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</si>
  <si>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</si>
  <si>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</si>
  <si>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</si>
  <si>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</si>
  <si>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</si>
  <si>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</si>
  <si>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</si>
  <si>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</si>
  <si>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</si>
  <si>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</si>
  <si>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</si>
  <si>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</si>
  <si>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</si>
  <si>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</si>
  <si>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</si>
  <si>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</si>
  <si>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</si>
  <si>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</si>
  <si>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</si>
  <si>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</si>
  <si>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</si>
  <si>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</si>
  <si>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</si>
  <si>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</si>
  <si>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</si>
  <si>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</si>
  <si>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</si>
  <si>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</si>
  <si>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</si>
  <si>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</si>
  <si>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</si>
  <si>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</si>
  <si>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</si>
  <si>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</si>
  <si>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</si>
  <si>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</si>
  <si>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</si>
  <si>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</si>
  <si>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</si>
  <si>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</si>
  <si>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</si>
  <si>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</si>
  <si>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</si>
  <si>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</si>
  <si>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</si>
  <si>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</si>
  <si>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</si>
  <si>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</si>
  <si>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</si>
  <si>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</si>
  <si>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</si>
  <si>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</si>
  <si>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</si>
  <si>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</si>
  <si>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</si>
  <si>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</si>
  <si>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</si>
  <si>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</si>
  <si>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</si>
  <si>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</si>
  <si>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</si>
  <si>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</si>
  <si>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</si>
  <si>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</si>
  <si>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</si>
  <si>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</si>
  <si>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</si>
  <si>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</si>
  <si>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</si>
  <si>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</si>
  <si>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</si>
  <si>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</si>
  <si>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</si>
  <si>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</si>
  <si>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</si>
  <si>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</si>
  <si>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</si>
  <si>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</si>
  <si>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</si>
  <si>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</si>
  <si>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</si>
  <si>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</si>
  <si>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</si>
  <si>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</si>
  <si>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</si>
  <si>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</si>
  <si>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</si>
  <si>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</si>
  <si>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</si>
  <si>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</si>
  <si>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</si>
  <si>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</si>
  <si>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</si>
  <si>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</si>
  <si>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</si>
  <si>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</si>
  <si>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</si>
  <si>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</si>
  <si>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</si>
  <si>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</si>
  <si>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</si>
  <si>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</si>
  <si>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</si>
  <si>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</si>
  <si>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</si>
  <si>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</si>
  <si>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</si>
  <si>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</si>
  <si>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</si>
  <si>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</si>
  <si>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</si>
  <si>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</si>
  <si>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</si>
  <si>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</si>
  <si>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</si>
  <si>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</si>
  <si>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</si>
  <si>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</si>
  <si>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</si>
  <si>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</si>
  <si>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</si>
  <si>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</si>
  <si>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</si>
  <si>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</si>
  <si>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</si>
  <si>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</si>
  <si>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</si>
  <si>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</si>
  <si>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</si>
  <si>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</si>
  <si>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</si>
  <si>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</si>
  <si>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</si>
  <si>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</si>
  <si>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</si>
  <si>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</si>
  <si>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</si>
  <si>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</si>
  <si>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</si>
  <si>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</si>
  <si>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</si>
  <si>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</si>
  <si>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</si>
  <si>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</si>
  <si>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</si>
  <si>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</si>
  <si>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</si>
  <si>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</si>
  <si>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</si>
  <si>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</si>
  <si>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</si>
  <si>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</si>
  <si>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</si>
  <si>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</si>
  <si>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</si>
  <si>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</si>
  <si>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</si>
  <si>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</si>
  <si>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</si>
  <si>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</si>
  <si>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</si>
  <si>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</si>
  <si>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</si>
  <si>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</si>
  <si>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</si>
  <si>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</si>
  <si>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</si>
  <si>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</si>
  <si>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</si>
  <si>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</si>
  <si>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</si>
  <si>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</si>
  <si>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</si>
  <si>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</si>
  <si>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</si>
  <si>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</si>
  <si>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</si>
  <si>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</si>
  <si>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</si>
  <si>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</si>
  <si>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</si>
  <si>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</si>
  <si>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</si>
  <si>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</si>
  <si>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</si>
  <si>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</si>
  <si>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</si>
  <si>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</si>
  <si>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</si>
  <si>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</si>
  <si>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</si>
  <si>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</si>
  <si>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</si>
  <si>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</si>
  <si>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</si>
  <si>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</si>
  <si>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</si>
  <si>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</si>
  <si>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</si>
  <si>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</si>
  <si>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</si>
  <si>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</si>
  <si>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</si>
  <si>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</si>
  <si>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</si>
  <si>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</si>
  <si>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</si>
  <si>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</si>
  <si>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</si>
  <si>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</si>
  <si>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</si>
  <si>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</si>
  <si>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</si>
  <si>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</si>
  <si>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</si>
  <si>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</si>
  <si>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</si>
  <si>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</si>
  <si>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</si>
  <si>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</si>
  <si>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</si>
  <si>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</si>
  <si>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</si>
  <si>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</si>
  <si>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</si>
  <si>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</si>
  <si>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</si>
  <si>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</si>
  <si>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</si>
  <si>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</si>
  <si>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</si>
  <si>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</si>
  <si>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</si>
  <si>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</si>
  <si>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</si>
  <si>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</si>
  <si>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</si>
  <si>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</si>
  <si>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</si>
  <si>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</si>
  <si>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</si>
  <si>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</si>
  <si>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</si>
  <si>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</si>
  <si>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</si>
  <si>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</si>
  <si>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</si>
  <si>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</si>
  <si>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</si>
  <si>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</si>
  <si>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</si>
  <si>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</si>
  <si>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</si>
  <si>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</si>
  <si>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</si>
  <si>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</si>
  <si>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</si>
  <si>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</si>
  <si>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</si>
  <si>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</si>
  <si>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</si>
  <si>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</si>
  <si>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</si>
  <si>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</si>
  <si>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</si>
  <si>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</si>
  <si>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</si>
  <si>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</si>
  <si>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</si>
  <si>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</si>
  <si>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</si>
  <si>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</si>
  <si>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</si>
  <si>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</si>
  <si>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</si>
  <si>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</si>
  <si>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</si>
  <si>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</si>
  <si>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</si>
  <si>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</si>
  <si>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</si>
  <si>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</si>
  <si>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</si>
  <si>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</si>
  <si>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</si>
  <si>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</si>
  <si>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</si>
  <si>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</si>
  <si>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</si>
  <si>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</si>
  <si>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</si>
  <si>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</si>
  <si>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</si>
  <si>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</si>
  <si>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</si>
  <si>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</si>
  <si>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</si>
  <si>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</si>
  <si>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</si>
  <si>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</si>
  <si>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</si>
  <si>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</si>
  <si>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</si>
  <si>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</si>
  <si>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</si>
  <si>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</si>
  <si>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</si>
  <si>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</si>
  <si>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</si>
  <si>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</si>
  <si>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</si>
  <si>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</si>
  <si>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</si>
  <si>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</si>
  <si>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</si>
  <si>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</si>
  <si>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</si>
  <si>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</si>
  <si>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</si>
  <si>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</si>
  <si>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</si>
  <si>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</si>
  <si>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</si>
  <si>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</si>
  <si>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</si>
  <si>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</si>
  <si>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</si>
  <si>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</si>
  <si>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</si>
  <si>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</si>
  <si>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</si>
  <si>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</si>
  <si>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</si>
  <si>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</si>
  <si>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</si>
  <si>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</si>
  <si>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</si>
  <si>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</si>
  <si>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</si>
  <si>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</si>
  <si>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</si>
  <si>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</si>
  <si>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</si>
  <si>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</si>
  <si>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</si>
  <si>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</si>
  <si>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</si>
  <si>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</si>
  <si>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</si>
  <si>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</si>
  <si>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</si>
  <si>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</si>
  <si>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</si>
  <si>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</si>
  <si>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</si>
  <si>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</si>
  <si>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</si>
  <si>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</si>
  <si>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</si>
  <si>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</si>
  <si>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</si>
  <si>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</si>
  <si>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</si>
  <si>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</si>
  <si>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</si>
  <si>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</si>
  <si>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</si>
  <si>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</si>
  <si>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</si>
  <si>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</si>
  <si>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</si>
  <si>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</si>
  <si>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</si>
  <si>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</si>
  <si>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</si>
  <si>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</si>
  <si>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</si>
  <si>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</si>
  <si>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</si>
  <si>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</si>
  <si>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</si>
  <si>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</si>
  <si>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</si>
  <si>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</si>
  <si>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</si>
  <si>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</si>
  <si>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</si>
  <si>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</si>
  <si>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</si>
  <si>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</si>
  <si>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</si>
  <si>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</si>
  <si>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</si>
  <si>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</si>
  <si>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</si>
  <si>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</si>
  <si>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</si>
  <si>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</si>
  <si>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</si>
  <si>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</si>
  <si>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</si>
  <si>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</si>
  <si>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</si>
  <si>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</si>
  <si>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</si>
  <si>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</si>
  <si>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</si>
  <si>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</si>
  <si>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</si>
  <si>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</si>
  <si>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</si>
  <si>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</si>
  <si>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</si>
  <si>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</si>
  <si>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</si>
  <si>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</si>
  <si>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</si>
  <si>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</si>
  <si>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</si>
  <si>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</si>
  <si>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</si>
  <si>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</si>
  <si>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</si>
  <si>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</si>
  <si>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</si>
  <si>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</si>
  <si>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</si>
  <si>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</si>
  <si>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</si>
  <si>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</si>
  <si>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</si>
  <si>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</si>
  <si>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</si>
  <si>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</si>
  <si>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</si>
  <si>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</si>
  <si>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</si>
  <si>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</si>
  <si>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</si>
  <si>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</si>
  <si>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</si>
  <si>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</si>
  <si>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</si>
  <si>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</si>
  <si>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</si>
  <si>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</si>
  <si>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</si>
  <si>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</si>
  <si>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</si>
  <si>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</si>
  <si>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</si>
  <si>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</si>
  <si>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</si>
  <si>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</si>
  <si>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</si>
  <si>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</si>
  <si>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</si>
  <si>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</si>
  <si>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</si>
  <si>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</si>
  <si>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</si>
  <si>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</si>
  <si>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</si>
  <si>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</si>
  <si>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</si>
  <si>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</si>
  <si>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</si>
  <si>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</si>
  <si>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</si>
  <si>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</si>
  <si>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</si>
  <si>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</si>
  <si>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</si>
  <si>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</si>
  <si>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</si>
  <si>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</si>
  <si>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</si>
  <si>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</si>
  <si>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</si>
  <si>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</si>
  <si>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</si>
  <si>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</si>
  <si>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</si>
  <si>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</si>
  <si>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</si>
  <si>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</si>
  <si>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</si>
  <si>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</si>
  <si>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</si>
  <si>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</si>
  <si>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</si>
  <si>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</si>
  <si>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</si>
  <si>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</si>
  <si>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</si>
  <si>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</si>
  <si>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</si>
  <si>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</si>
  <si>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</si>
  <si>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</si>
  <si>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</si>
  <si>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</si>
  <si>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</si>
  <si>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</si>
  <si>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</si>
  <si>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</si>
  <si>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</si>
  <si>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</si>
  <si>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</si>
  <si>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</si>
  <si>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</si>
  <si>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</si>
  <si>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</si>
  <si>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</si>
  <si>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</si>
  <si>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</si>
  <si>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</si>
  <si>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</si>
  <si>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</si>
  <si>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</si>
  <si>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</si>
  <si>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</si>
  <si>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</si>
  <si>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</si>
  <si>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</si>
  <si>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</si>
  <si>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</si>
  <si>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</si>
  <si>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</si>
  <si>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</si>
  <si>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</si>
  <si>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</si>
  <si>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</si>
  <si>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</si>
  <si>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</si>
  <si>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</si>
  <si>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</si>
  <si>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</si>
  <si>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</si>
  <si>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</si>
  <si>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</si>
  <si>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</si>
  <si>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</si>
  <si>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</si>
  <si>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</si>
  <si>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</si>
  <si>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</si>
  <si>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</si>
  <si>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</si>
  <si>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</si>
  <si>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</si>
  <si>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</si>
  <si>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</si>
  <si>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</si>
  <si>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</si>
  <si>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</si>
  <si>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</si>
  <si>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</si>
  <si>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</si>
  <si>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</si>
  <si>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</si>
  <si>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</si>
  <si>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</si>
  <si>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</si>
  <si>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</si>
  <si>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</si>
  <si>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</si>
  <si>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</si>
  <si>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</si>
  <si>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</si>
  <si>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</si>
  <si>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</si>
  <si>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</si>
  <si>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</si>
  <si>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</si>
  <si>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</si>
  <si>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</si>
  <si>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</si>
  <si>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</si>
  <si>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</si>
  <si>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</si>
  <si>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</si>
  <si>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</si>
  <si>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</si>
  <si>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</si>
  <si>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</si>
  <si>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</si>
  <si>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</si>
  <si>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</si>
  <si>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</si>
  <si>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</si>
  <si>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</si>
  <si>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</si>
  <si>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</si>
  <si>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</si>
  <si>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</si>
  <si>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</si>
  <si>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</si>
  <si>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</si>
  <si>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</si>
  <si>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</si>
  <si>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</si>
  <si>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</si>
  <si>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</si>
  <si>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</si>
  <si>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</si>
  <si>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</si>
  <si>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</si>
  <si>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</si>
  <si>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</si>
  <si>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</si>
  <si>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</si>
  <si>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</si>
  <si>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</si>
  <si>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</si>
  <si>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</si>
  <si>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</si>
  <si>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</si>
  <si>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</si>
  <si>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</si>
  <si>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</si>
  <si>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</si>
  <si>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</si>
  <si>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</si>
  <si>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</si>
  <si>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</si>
  <si>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</si>
  <si>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</si>
  <si>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</si>
  <si>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</si>
  <si>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</si>
  <si>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</si>
  <si>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</si>
  <si>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</si>
  <si>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</si>
  <si>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</si>
  <si>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</si>
  <si>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</si>
  <si>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</si>
  <si>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</si>
  <si>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</si>
  <si>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</si>
  <si>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</si>
  <si>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</si>
  <si>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</si>
  <si>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</si>
  <si>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</si>
  <si>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</si>
  <si>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</si>
  <si>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</si>
  <si>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</si>
  <si>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</si>
  <si>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</si>
  <si>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</si>
  <si>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</si>
  <si>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</si>
  <si>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</si>
  <si>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</si>
  <si>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</si>
  <si>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</si>
  <si>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</si>
  <si>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</si>
  <si>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</si>
  <si>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</si>
  <si>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</si>
  <si>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</si>
  <si>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</si>
  <si>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</si>
  <si>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</si>
  <si>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</si>
  <si>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</si>
  <si>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</si>
  <si>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</si>
  <si>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</si>
  <si>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</si>
  <si>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</si>
  <si>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</si>
  <si>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</si>
  <si>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</si>
  <si>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</si>
  <si>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</si>
  <si>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</si>
  <si>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</si>
  <si>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</si>
  <si>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</si>
  <si>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</si>
  <si>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</si>
  <si>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</si>
  <si>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</si>
  <si>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</si>
  <si>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</si>
  <si>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</si>
  <si>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</si>
  <si>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</si>
  <si>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</si>
  <si>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</si>
  <si>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</si>
  <si>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</si>
  <si>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</si>
  <si>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</si>
  <si>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</si>
  <si>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</si>
  <si>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</si>
  <si>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</si>
  <si>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</si>
  <si>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</si>
  <si>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</si>
  <si>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</si>
  <si>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</si>
  <si>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</si>
  <si>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</si>
  <si>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</si>
  <si>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</si>
  <si>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</si>
  <si>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</si>
  <si>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</si>
  <si>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</si>
  <si>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</si>
  <si>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</si>
  <si>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</si>
  <si>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</si>
  <si>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</si>
  <si>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</si>
  <si>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</si>
  <si>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</si>
  <si>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</si>
  <si>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</si>
  <si>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</si>
  <si>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</si>
  <si>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</si>
  <si>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</si>
  <si>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</si>
  <si>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</si>
  <si>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</si>
  <si>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</si>
  <si>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</si>
  <si>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</si>
  <si>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</si>
  <si>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</si>
  <si>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</si>
  <si>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</si>
  <si>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</si>
  <si>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</si>
  <si>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</si>
  <si>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</si>
  <si>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</si>
  <si>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</si>
  <si>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</si>
  <si>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</si>
  <si>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</si>
  <si>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</si>
  <si>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</si>
  <si>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</si>
  <si>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</si>
  <si>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</si>
  <si>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</si>
  <si>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</si>
  <si>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</si>
  <si>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</si>
  <si>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</si>
  <si>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</si>
  <si>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</si>
  <si>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</si>
  <si>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</si>
  <si>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</si>
  <si>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</si>
  <si>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</si>
  <si>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</si>
  <si>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</si>
  <si>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</si>
  <si>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</si>
  <si>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</si>
  <si>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</si>
  <si>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</si>
  <si>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</si>
  <si>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</si>
  <si>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</si>
  <si>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</si>
  <si>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</si>
  <si>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</si>
  <si>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</si>
  <si>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</si>
  <si>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</si>
  <si>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</si>
  <si>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</si>
  <si>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</si>
  <si>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</si>
  <si>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</si>
  <si>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</si>
  <si>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</si>
  <si>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</si>
  <si>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</si>
  <si>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</si>
  <si>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</si>
  <si>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</si>
  <si>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</si>
  <si>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</si>
  <si>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</si>
  <si>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</si>
  <si>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</si>
  <si>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</si>
  <si>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</si>
  <si>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</si>
  <si>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</si>
  <si>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</si>
  <si>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</si>
  <si>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</si>
  <si>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</si>
  <si>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</si>
  <si>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</si>
  <si>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</si>
  <si>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</si>
  <si>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</si>
  <si>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</si>
  <si>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</si>
  <si>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</si>
  <si>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</si>
  <si>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</si>
  <si>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</si>
  <si>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</si>
  <si>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</si>
  <si>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</si>
  <si>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</si>
  <si>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</si>
  <si>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</si>
  <si>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</si>
  <si>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</si>
  <si>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</si>
  <si>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</si>
  <si>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</si>
  <si>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</si>
  <si>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</si>
  <si>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</si>
  <si>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</si>
  <si>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</si>
  <si>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</si>
  <si>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</si>
  <si>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</si>
  <si>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</si>
  <si>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</si>
  <si>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</si>
  <si>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</si>
  <si>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</si>
  <si>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</si>
  <si>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</si>
  <si>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</si>
  <si>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</si>
  <si>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</si>
  <si>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</si>
  <si>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</si>
  <si>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</si>
  <si>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</si>
  <si>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</si>
  <si>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</si>
  <si>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</si>
  <si>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</si>
  <si>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</si>
  <si>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</si>
  <si>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</si>
  <si>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</si>
  <si>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</si>
  <si>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</si>
  <si>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</si>
  <si>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</si>
  <si>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</si>
  <si>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</si>
  <si>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</si>
  <si>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</si>
  <si>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</si>
  <si>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</si>
  <si>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</si>
  <si>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</si>
  <si>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</si>
  <si>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</si>
  <si>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</si>
  <si>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</si>
  <si>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</si>
  <si>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</si>
  <si>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</si>
  <si>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</si>
  <si>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</si>
  <si>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</si>
  <si>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</si>
  <si>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</si>
  <si>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</si>
  <si>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</si>
  <si>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</si>
  <si>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</si>
  <si>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</si>
  <si>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</si>
  <si>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</si>
  <si>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</si>
  <si>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</si>
  <si>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</si>
  <si>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</si>
  <si>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</si>
  <si>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</si>
  <si>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</si>
  <si>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</si>
  <si>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</si>
  <si>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</si>
  <si>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</si>
  <si>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</si>
  <si>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</si>
  <si>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</si>
  <si>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</si>
  <si>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</si>
  <si>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</si>
  <si>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</si>
  <si>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</si>
  <si>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</si>
  <si>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</si>
  <si>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</si>
  <si>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</si>
  <si>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</si>
  <si>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</si>
  <si>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</si>
  <si>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</si>
  <si>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</si>
  <si>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</si>
  <si>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</si>
  <si>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</si>
  <si>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</si>
  <si>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</si>
  <si>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</si>
  <si>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</si>
  <si>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</si>
  <si>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</si>
  <si>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</si>
  <si>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</si>
  <si>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</si>
  <si>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</si>
  <si>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</si>
  <si>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</si>
  <si>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</si>
  <si>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</si>
  <si>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</si>
  <si>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</si>
  <si>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</si>
  <si>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</si>
  <si>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</si>
  <si>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</si>
  <si>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</si>
  <si>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</si>
  <si>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</si>
  <si>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</si>
  <si>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</si>
  <si>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</si>
  <si>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</si>
  <si>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</si>
  <si>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</si>
  <si>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</si>
  <si>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</si>
  <si>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</si>
  <si>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</si>
  <si>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</si>
  <si>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</si>
  <si>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</si>
  <si>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</si>
  <si>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</si>
  <si>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</si>
  <si>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</si>
  <si>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</si>
  <si>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</si>
  <si>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</si>
  <si>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</si>
  <si>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</si>
  <si>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</si>
  <si>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</si>
  <si>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</si>
  <si>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</si>
  <si>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</si>
  <si>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</si>
  <si>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</si>
  <si>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</si>
  <si>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</si>
  <si>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</si>
  <si>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</si>
  <si>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</si>
  <si>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</si>
  <si>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</si>
  <si>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</si>
  <si>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</si>
  <si>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</si>
  <si>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</si>
  <si>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</si>
  <si>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</si>
  <si>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</si>
  <si>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</si>
  <si>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</si>
  <si>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</si>
  <si>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</si>
  <si>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</si>
  <si>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</si>
  <si>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</si>
  <si>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</si>
  <si>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</si>
  <si>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</si>
  <si>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</si>
  <si>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</si>
  <si>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</si>
  <si>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</si>
  <si>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</si>
  <si>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</si>
  <si>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</si>
  <si>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</si>
  <si>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</si>
  <si>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</si>
  <si>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</si>
  <si>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</si>
  <si>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</si>
  <si>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</si>
  <si>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</si>
  <si>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</si>
  <si>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</si>
  <si>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</si>
  <si>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</si>
  <si>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</si>
  <si>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</si>
  <si>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</si>
  <si>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</si>
  <si>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</si>
  <si>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</si>
  <si>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</si>
  <si>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</si>
  <si>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</si>
  <si>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</si>
  <si>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</si>
  <si>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</si>
  <si>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</si>
  <si>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</si>
  <si>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</si>
  <si>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</si>
  <si>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</si>
  <si>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</si>
  <si>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</si>
  <si>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</si>
  <si>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</si>
  <si>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</si>
  <si>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</si>
  <si>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</si>
  <si>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</si>
  <si>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</si>
  <si>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</si>
  <si>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</si>
  <si>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</si>
  <si>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</si>
  <si>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</si>
  <si>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</si>
  <si>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</si>
  <si>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</si>
  <si>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</si>
  <si>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</si>
  <si>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</si>
  <si>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</si>
  <si>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</si>
  <si>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</si>
  <si>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</si>
  <si>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</si>
  <si>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</si>
  <si>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</si>
  <si>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</si>
  <si>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</si>
  <si>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</si>
  <si>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</si>
  <si>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</si>
  <si>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</si>
  <si>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</si>
  <si>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</si>
  <si>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</si>
  <si>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</si>
  <si>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</si>
  <si>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</si>
  <si>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</si>
  <si>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</si>
  <si>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</si>
  <si>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</si>
  <si>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</si>
  <si>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</si>
  <si>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</si>
  <si>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</si>
  <si>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</si>
  <si>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</si>
  <si>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</si>
  <si>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</si>
  <si>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</si>
  <si>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</si>
  <si>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</si>
  <si>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</si>
  <si>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</si>
  <si>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</si>
  <si>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</si>
  <si>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</si>
  <si>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</si>
  <si>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</si>
  <si>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</si>
  <si>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</si>
  <si>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</si>
  <si>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</si>
  <si>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</si>
  <si>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</si>
  <si>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</si>
  <si>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</si>
  <si>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</si>
  <si>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</si>
  <si>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</si>
  <si>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</si>
  <si>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</si>
  <si>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</si>
  <si>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</si>
  <si>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</si>
  <si>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</si>
  <si>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</si>
  <si>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</si>
  <si>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</si>
  <si>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</si>
  <si>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</si>
  <si>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</si>
  <si>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</si>
  <si>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</si>
  <si>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</si>
  <si>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</si>
  <si>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</si>
  <si>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</si>
  <si>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</si>
  <si>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</si>
  <si>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</si>
  <si>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</si>
  <si>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</si>
  <si>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</si>
  <si>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</si>
  <si>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</si>
  <si>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</si>
  <si>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</si>
  <si>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</si>
  <si>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</si>
  <si>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</si>
  <si>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</si>
  <si>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</si>
  <si>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</si>
  <si>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</si>
  <si>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</si>
  <si>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</si>
  <si>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</si>
  <si>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</si>
  <si>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</si>
  <si>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</si>
  <si>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</si>
  <si>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</si>
  <si>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</si>
  <si>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</si>
  <si>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</si>
  <si>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</si>
  <si>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</si>
  <si>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</si>
  <si>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</si>
  <si>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</si>
  <si>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</si>
  <si>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</si>
  <si>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</si>
  <si>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</si>
  <si>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</si>
  <si>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</si>
  <si>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</si>
  <si>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</si>
  <si>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</si>
  <si>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</si>
  <si>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</si>
  <si>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</si>
  <si>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</si>
  <si>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</si>
  <si>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</si>
  <si>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</si>
  <si>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</si>
  <si>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</si>
  <si>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</si>
  <si>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</si>
  <si>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</si>
  <si>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</si>
  <si>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</si>
  <si>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</si>
  <si>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</si>
  <si>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</si>
  <si>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</si>
  <si>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</si>
  <si>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</si>
  <si>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</si>
  <si>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</si>
  <si>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</si>
  <si>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</si>
  <si>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</si>
  <si>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</si>
  <si>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</si>
  <si>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</si>
  <si>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</si>
  <si>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</si>
  <si>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</si>
  <si>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</si>
  <si>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</si>
  <si>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</si>
  <si>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</si>
  <si>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</si>
  <si>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</si>
  <si>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</si>
  <si>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</si>
  <si>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</si>
  <si>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</si>
  <si>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</si>
  <si>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</si>
  <si>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</si>
  <si>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</si>
  <si>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</si>
  <si>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</si>
  <si>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</si>
  <si>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</si>
  <si>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</si>
  <si>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</si>
  <si>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</si>
  <si>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</si>
  <si>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</si>
  <si>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</si>
  <si>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</si>
  <si>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</si>
  <si>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</si>
  <si>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</si>
  <si>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</si>
  <si>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</si>
  <si>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</si>
  <si>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</si>
  <si>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</si>
  <si>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</si>
  <si>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</si>
  <si>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</si>
  <si>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</si>
  <si>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</si>
  <si>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</si>
  <si>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</si>
  <si>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</si>
  <si>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</si>
  <si>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</si>
  <si>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</si>
  <si>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</si>
  <si>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</si>
  <si>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</si>
  <si>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</si>
  <si>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</si>
  <si>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</si>
  <si>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</si>
  <si>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</si>
  <si>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</si>
  <si>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</si>
  <si>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</si>
  <si>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</si>
  <si>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</si>
  <si>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</si>
  <si>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</si>
  <si>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</si>
  <si>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</si>
  <si>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</si>
  <si>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</si>
  <si>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</si>
  <si>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</si>
  <si>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</si>
  <si>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</si>
  <si>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</si>
  <si>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</si>
  <si>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</si>
  <si>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</si>
  <si>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</si>
  <si>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</si>
  <si>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</si>
  <si>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</si>
  <si>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</si>
  <si>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</si>
  <si>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</si>
  <si>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</si>
  <si>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</si>
  <si>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</si>
  <si>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</si>
  <si>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</si>
  <si>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</si>
  <si>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</si>
  <si>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</si>
  <si>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</si>
  <si>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</si>
  <si>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</si>
  <si>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</si>
  <si>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</si>
  <si>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</si>
  <si>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</si>
  <si>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</si>
  <si>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</si>
  <si>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</si>
  <si>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</si>
  <si>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</si>
  <si>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</si>
  <si>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</si>
  <si>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</si>
  <si>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</si>
  <si>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</si>
  <si>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</si>
  <si>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</si>
  <si>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</si>
  <si>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</si>
  <si>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</si>
  <si>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</si>
  <si>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</si>
  <si>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</si>
  <si>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</si>
  <si>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</si>
  <si>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</si>
  <si>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</si>
  <si>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</si>
  <si>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</si>
  <si>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</si>
  <si>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</si>
  <si>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</si>
  <si>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</si>
  <si>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</si>
  <si>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</si>
  <si>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</si>
  <si>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</si>
  <si>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</si>
  <si>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</si>
  <si>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</si>
  <si>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</si>
  <si>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</si>
  <si>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</si>
  <si>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</si>
  <si>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</si>
  <si>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</si>
  <si>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</si>
  <si>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</si>
  <si>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</si>
  <si>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</si>
  <si>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</si>
  <si>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</si>
  <si>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</si>
  <si>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</si>
  <si>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</si>
  <si>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</si>
  <si>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</si>
  <si>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</si>
  <si>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</si>
  <si>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</si>
  <si>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</si>
  <si>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</si>
  <si>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</si>
  <si>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</si>
  <si>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</si>
  <si>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</si>
  <si>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</si>
  <si>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</si>
  <si>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</si>
  <si>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</si>
  <si>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</si>
  <si>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</si>
  <si>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</si>
  <si>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</si>
  <si>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</si>
  <si>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</si>
  <si>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</si>
  <si>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</si>
  <si>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</si>
  <si>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</si>
  <si>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</si>
  <si>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</si>
  <si>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</si>
  <si>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</si>
  <si>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</si>
  <si>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</si>
  <si>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</si>
  <si>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</si>
  <si>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</si>
  <si>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</si>
  <si>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</si>
  <si>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</si>
  <si>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</si>
  <si>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</si>
  <si>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</si>
  <si>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</si>
  <si>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</si>
  <si>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</si>
  <si>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</si>
  <si>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</si>
  <si>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</si>
  <si>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</si>
  <si>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</si>
  <si>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</si>
  <si>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</si>
  <si>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</si>
  <si>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</si>
  <si>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</si>
  <si>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</si>
  <si>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</si>
  <si>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</si>
  <si>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</si>
  <si>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</si>
  <si>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</si>
  <si>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</si>
  <si>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</si>
  <si>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</si>
  <si>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</si>
  <si>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</si>
  <si>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</si>
  <si>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</si>
  <si>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</si>
  <si>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</si>
  <si>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</si>
  <si>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</si>
  <si>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</si>
  <si>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</si>
  <si>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</si>
  <si>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</si>
  <si>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</si>
  <si>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</si>
  <si>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</si>
  <si>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</si>
  <si>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</si>
  <si>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</si>
  <si>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</si>
  <si>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</si>
  <si>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</si>
  <si>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</si>
  <si>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</si>
  <si>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</si>
  <si>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</si>
  <si>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</si>
  <si>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</si>
  <si>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</si>
  <si>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</si>
  <si>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</si>
  <si>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</si>
  <si>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</si>
  <si>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</si>
  <si>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</si>
  <si>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</si>
  <si>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</si>
  <si>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</si>
  <si>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</si>
  <si>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</si>
  <si>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</si>
  <si>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</si>
  <si>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</si>
  <si>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</si>
  <si>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</si>
  <si>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</si>
  <si>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</si>
  <si>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</si>
  <si>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</si>
  <si>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</si>
  <si>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</si>
  <si>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</si>
  <si>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</si>
  <si>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</si>
  <si>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</si>
  <si>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</si>
  <si>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</si>
  <si>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</si>
  <si>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</si>
  <si>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</si>
  <si>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</si>
  <si>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</si>
  <si>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</si>
  <si>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</si>
  <si>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</si>
  <si>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</si>
  <si>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</si>
  <si>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</si>
  <si>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</si>
  <si>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</si>
  <si>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</si>
  <si>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</si>
  <si>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</si>
  <si>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</si>
  <si>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</si>
  <si>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</si>
  <si>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</si>
  <si>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</si>
  <si>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</si>
  <si>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</si>
  <si>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</si>
  <si>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</si>
  <si>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</si>
  <si>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</si>
  <si>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</si>
  <si>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</si>
  <si>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</si>
  <si>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</si>
  <si>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</si>
  <si>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</si>
  <si>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</si>
  <si>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</si>
  <si>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</si>
  <si>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</si>
  <si>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</si>
  <si>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</si>
  <si>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</si>
  <si>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</si>
  <si>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</si>
  <si>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</si>
  <si>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</si>
  <si>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</si>
  <si>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</si>
  <si>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</si>
  <si>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</si>
  <si>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</si>
  <si>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</si>
  <si>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</si>
  <si>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</si>
  <si>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</si>
  <si>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</si>
  <si>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</si>
  <si>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</si>
  <si>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</si>
  <si>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</si>
  <si>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</si>
  <si>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</si>
  <si>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</si>
  <si>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</si>
  <si>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</si>
  <si>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</si>
  <si>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</si>
  <si>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</si>
  <si>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</si>
  <si>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</si>
  <si>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</si>
  <si>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</si>
  <si>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</si>
  <si>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</si>
  <si>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</si>
  <si>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</si>
  <si>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</si>
  <si>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</si>
  <si>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</si>
  <si>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</si>
  <si>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</si>
  <si>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</si>
  <si>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</si>
  <si>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</si>
  <si>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</si>
  <si>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</si>
  <si>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</si>
  <si>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</si>
  <si>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</si>
  <si>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</si>
  <si>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</si>
  <si>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</si>
  <si>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</si>
  <si>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</si>
  <si>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</si>
  <si>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</si>
  <si>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</si>
  <si>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</si>
  <si>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</si>
  <si>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</si>
  <si>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</si>
  <si>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</si>
  <si>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</si>
  <si>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</si>
  <si>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</si>
  <si>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</si>
  <si>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</si>
  <si>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</si>
  <si>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</si>
  <si>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</si>
  <si>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</si>
  <si>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</si>
  <si>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</si>
  <si>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</si>
  <si>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</si>
  <si>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</si>
  <si>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</si>
  <si>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</si>
  <si>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</si>
  <si>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</si>
  <si>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</si>
  <si>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</si>
  <si>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</si>
  <si>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</si>
  <si>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</si>
  <si>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</si>
  <si>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</si>
  <si>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</si>
  <si>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</si>
  <si>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</si>
  <si>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</si>
  <si>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</si>
  <si>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</si>
  <si>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</si>
  <si>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</si>
  <si>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</si>
  <si>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</si>
  <si>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</si>
  <si>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</si>
  <si>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</si>
  <si>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</si>
  <si>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</si>
  <si>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</si>
  <si>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</si>
  <si>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</si>
  <si>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</si>
  <si>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</si>
  <si>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</si>
  <si>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</si>
  <si>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</si>
  <si>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</si>
  <si>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</si>
  <si>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</si>
  <si>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</si>
  <si>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</si>
  <si>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</si>
  <si>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</si>
  <si>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</si>
  <si>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</si>
  <si>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</si>
  <si>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</si>
  <si>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</si>
  <si>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</si>
  <si>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</si>
  <si>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</si>
  <si>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</si>
  <si>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</si>
  <si>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</si>
  <si>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</si>
  <si>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</si>
  <si>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</si>
  <si>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</si>
  <si>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</si>
  <si>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</si>
  <si>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</si>
  <si>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</si>
  <si>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</si>
  <si>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</si>
  <si>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</si>
  <si>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</si>
  <si>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</si>
  <si>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</si>
  <si>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</si>
  <si>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</si>
  <si>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</si>
  <si>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</si>
  <si>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</si>
  <si>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</si>
  <si>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</si>
  <si>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</si>
  <si>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</si>
  <si>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</si>
  <si>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</si>
  <si>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</si>
  <si>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</si>
  <si>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</si>
  <si>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</si>
  <si>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</si>
  <si>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</si>
  <si>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</si>
  <si>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</si>
  <si>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</si>
  <si>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</si>
  <si>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</si>
  <si>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</si>
  <si>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</si>
  <si>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</si>
  <si>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</si>
  <si>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</si>
  <si>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</si>
  <si>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</si>
  <si>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</si>
  <si>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</si>
  <si>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</si>
  <si>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</si>
  <si>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</si>
  <si>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</si>
  <si>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</si>
  <si>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</si>
  <si>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</si>
  <si>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</si>
  <si>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</si>
  <si>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</si>
  <si>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</si>
  <si>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</si>
  <si>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</si>
  <si>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</si>
  <si>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</si>
  <si>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</si>
  <si>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</si>
  <si>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</si>
  <si>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</si>
  <si>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</si>
  <si>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</si>
  <si>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</si>
  <si>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</si>
  <si>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</si>
  <si>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</si>
  <si>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</si>
  <si>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</si>
  <si>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</si>
  <si>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</si>
  <si>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</si>
  <si>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</si>
  <si>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</si>
  <si>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</si>
  <si>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</si>
  <si>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</si>
  <si>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</si>
  <si>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</si>
  <si>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</si>
  <si>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</si>
  <si>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</si>
  <si>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</si>
  <si>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</si>
  <si>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</si>
  <si>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</si>
  <si>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</si>
  <si>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</si>
  <si>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</si>
  <si>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</si>
  <si>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</si>
  <si>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</si>
  <si>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</si>
  <si>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</si>
  <si>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</si>
  <si>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</si>
  <si>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</si>
  <si>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</si>
  <si>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</si>
  <si>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</si>
  <si>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</si>
  <si>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</si>
  <si>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</si>
  <si>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</si>
  <si>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</si>
  <si>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</si>
  <si>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</si>
  <si>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</si>
  <si>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</si>
  <si>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</si>
  <si>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</si>
  <si>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</si>
  <si>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</si>
  <si>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</si>
  <si>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</si>
  <si>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</si>
  <si>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</si>
  <si>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</si>
  <si>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</si>
  <si>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</si>
  <si>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</si>
  <si>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</si>
  <si>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</si>
  <si>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</si>
  <si>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</si>
  <si>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</si>
  <si>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</si>
  <si>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</si>
  <si>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</si>
  <si>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</si>
  <si>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</si>
  <si>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</si>
  <si>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</si>
  <si>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</si>
  <si>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</si>
  <si>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</si>
  <si>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</si>
  <si>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</si>
  <si>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</si>
  <si>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</si>
  <si>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</si>
  <si>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</si>
  <si>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</si>
  <si>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</si>
  <si>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</si>
  <si>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</si>
  <si>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</si>
  <si>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</si>
  <si>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</si>
  <si>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</si>
  <si>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</si>
  <si>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</si>
  <si>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</si>
  <si>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</si>
  <si>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</si>
  <si>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</si>
  <si>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</si>
  <si>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</si>
  <si>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</si>
  <si>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</si>
  <si>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</si>
  <si>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</si>
  <si>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</si>
  <si>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</si>
  <si>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</si>
  <si>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</si>
  <si>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</si>
  <si>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</si>
  <si>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</si>
  <si>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</si>
  <si>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</si>
  <si>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</si>
  <si>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</si>
  <si>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</si>
  <si>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</si>
  <si>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</si>
  <si>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</si>
  <si>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</si>
  <si>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</si>
  <si>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</si>
  <si>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</si>
  <si>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</si>
  <si>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</si>
  <si>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</si>
  <si>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</si>
  <si>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</si>
  <si>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</si>
  <si>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</si>
  <si>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</si>
  <si>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</si>
  <si>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</si>
  <si>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</si>
  <si>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</si>
  <si>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</si>
  <si>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</si>
  <si>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</si>
  <si>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</si>
  <si>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</si>
  <si>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</si>
  <si>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</si>
  <si>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</si>
  <si>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</si>
  <si>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</si>
  <si>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</si>
  <si>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</si>
  <si>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</si>
  <si>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</si>
  <si>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</si>
  <si>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</si>
  <si>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</si>
  <si>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</si>
  <si>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</si>
  <si>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</si>
  <si>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</si>
  <si>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</si>
  <si>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</si>
  <si>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</si>
  <si>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</si>
  <si>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</si>
  <si>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</si>
  <si>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</si>
  <si>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</si>
  <si>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</si>
  <si>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</si>
  <si>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</si>
  <si>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</si>
  <si>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</si>
  <si>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</si>
  <si>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</si>
  <si>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</si>
  <si>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</si>
  <si>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</si>
  <si>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</si>
  <si>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</si>
  <si>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</si>
  <si>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</si>
  <si>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</si>
  <si>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</si>
  <si>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</si>
  <si>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</si>
  <si>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</si>
  <si>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</si>
  <si>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</si>
  <si>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</si>
  <si>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</si>
  <si>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</si>
  <si>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</si>
  <si>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</si>
  <si>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</si>
  <si>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</si>
  <si>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</si>
  <si>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</si>
  <si>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</si>
  <si>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</si>
  <si>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</si>
  <si>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</si>
  <si>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</si>
  <si>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</si>
  <si>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</si>
  <si>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</si>
  <si>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</si>
  <si>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</si>
  <si>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</si>
  <si>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</si>
  <si>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</si>
  <si>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</si>
  <si>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</si>
  <si>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</si>
  <si>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</si>
  <si>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</si>
  <si>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</si>
  <si>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</si>
  <si>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</si>
  <si>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</si>
  <si>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</si>
  <si>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</si>
  <si>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</si>
  <si>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</si>
  <si>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</si>
  <si>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</si>
  <si>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</si>
  <si>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</si>
  <si>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</si>
  <si>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</si>
  <si>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</si>
  <si>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</si>
  <si>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</si>
  <si>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</si>
  <si>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</si>
  <si>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</si>
  <si>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</si>
  <si>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</si>
  <si>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</si>
  <si>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</si>
  <si>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</si>
  <si>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</si>
  <si>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</si>
  <si>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</si>
  <si>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</si>
  <si>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</si>
  <si>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</si>
  <si>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</si>
  <si>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</si>
  <si>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</si>
  <si>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</si>
  <si>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</si>
  <si>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</si>
  <si>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</si>
  <si>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</si>
  <si>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</si>
  <si>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</si>
  <si>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</si>
  <si>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</si>
  <si>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</si>
  <si>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</si>
  <si>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</si>
  <si>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</si>
  <si>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</si>
  <si>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</si>
  <si>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</si>
  <si>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</si>
  <si>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</si>
  <si>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</si>
  <si>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</si>
  <si>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</si>
  <si>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</si>
  <si>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</si>
  <si>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</si>
  <si>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</si>
  <si>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</si>
  <si>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</si>
  <si>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</si>
  <si>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</si>
  <si>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</si>
  <si>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</si>
  <si>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</si>
  <si>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</si>
  <si>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</si>
  <si>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</si>
  <si>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</si>
  <si>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</si>
  <si>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</si>
  <si>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</si>
  <si>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</si>
  <si>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</si>
  <si>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</si>
  <si>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</si>
  <si>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</si>
  <si>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</si>
  <si>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</si>
  <si>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</si>
  <si>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</si>
  <si>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</si>
  <si>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</si>
  <si>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</si>
  <si>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</si>
  <si>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</si>
  <si>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</si>
  <si>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</si>
  <si>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</si>
  <si>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</si>
  <si>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</si>
  <si>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</si>
  <si>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</si>
  <si>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</si>
  <si>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</si>
  <si>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</si>
  <si>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</si>
  <si>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</si>
  <si>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</si>
  <si>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</si>
  <si>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</si>
  <si>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</si>
  <si>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</si>
  <si>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</si>
  <si>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</si>
  <si>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</si>
  <si>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</si>
  <si>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</si>
  <si>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</si>
  <si>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</si>
  <si>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</si>
  <si>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</si>
  <si>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</si>
  <si>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</si>
  <si>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</si>
  <si>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</si>
  <si>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</si>
  <si>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</si>
  <si>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</si>
  <si>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</si>
  <si>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</si>
  <si>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</si>
  <si>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</si>
  <si>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</si>
  <si>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</si>
  <si>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</si>
  <si>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</si>
  <si>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</si>
  <si>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</si>
  <si>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</si>
  <si>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</si>
  <si>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</si>
  <si>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</si>
  <si>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</si>
  <si>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</si>
  <si>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</si>
  <si>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</si>
  <si>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</si>
  <si>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</si>
  <si>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</si>
  <si>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</si>
  <si>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</si>
  <si>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</si>
  <si>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</si>
  <si>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</si>
  <si>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</si>
  <si>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</si>
  <si>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</si>
  <si>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</si>
  <si>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</si>
  <si>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</si>
  <si>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</si>
  <si>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</si>
  <si>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</si>
  <si>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</si>
  <si>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</si>
  <si>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</si>
  <si>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</si>
  <si>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</si>
  <si>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</si>
  <si>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</si>
  <si>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</si>
  <si>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</si>
  <si>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</si>
  <si>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</si>
  <si>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</si>
  <si>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</si>
  <si>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</si>
  <si>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</si>
  <si>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</si>
  <si>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</si>
  <si>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</si>
  <si>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</si>
  <si>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</si>
  <si>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</si>
  <si>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</si>
  <si>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</si>
  <si>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</si>
  <si>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</si>
  <si>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</si>
  <si>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</si>
  <si>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</si>
  <si>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</si>
  <si>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</si>
  <si>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</si>
  <si>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</si>
  <si>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</si>
  <si>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</si>
  <si>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</si>
  <si>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</si>
  <si>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</si>
  <si>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</si>
  <si>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</si>
  <si>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</si>
  <si>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</si>
  <si>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</si>
  <si>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</si>
  <si>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</si>
  <si>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</si>
  <si>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</si>
  <si>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</si>
  <si>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</si>
  <si>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</si>
  <si>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</si>
  <si>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</si>
  <si>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</si>
  <si>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</si>
  <si>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</si>
  <si>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</si>
  <si>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</si>
  <si>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</si>
  <si>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</si>
  <si>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</si>
  <si>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</si>
  <si>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</si>
  <si>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</si>
  <si>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</si>
  <si>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</si>
  <si>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</si>
  <si>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</si>
  <si>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</si>
  <si>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</si>
  <si>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</si>
  <si>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</si>
  <si>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</si>
  <si>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</si>
  <si>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</si>
  <si>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</si>
  <si>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</si>
  <si>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</si>
  <si>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</si>
  <si>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</si>
  <si>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</si>
  <si>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</si>
  <si>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</si>
  <si>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</si>
  <si>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</si>
  <si>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</si>
  <si>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</si>
  <si>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</si>
  <si>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</si>
  <si>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</si>
  <si>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</si>
  <si>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</si>
  <si>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</si>
  <si>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</si>
  <si>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</si>
  <si>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</si>
  <si>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</si>
  <si>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</si>
  <si>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</si>
  <si>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</si>
  <si>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</si>
  <si>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</si>
  <si>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</si>
  <si>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</si>
  <si>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</si>
  <si>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</si>
  <si>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</si>
  <si>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</si>
  <si>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</si>
  <si>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</si>
  <si>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</si>
  <si>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</si>
  <si>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</si>
  <si>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</si>
  <si>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</si>
  <si>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</si>
  <si>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</si>
  <si>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</si>
  <si>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</si>
  <si>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</si>
  <si>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</si>
  <si>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</si>
  <si>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</si>
  <si>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</si>
  <si>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</si>
  <si>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</si>
  <si>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</si>
  <si>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</si>
  <si>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</si>
  <si>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</si>
  <si>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</si>
  <si>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</si>
  <si>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</si>
  <si>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</si>
  <si>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</si>
  <si>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</si>
  <si>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</si>
  <si>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</si>
  <si>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</si>
  <si>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</si>
  <si>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</si>
  <si>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</si>
  <si>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</si>
  <si>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</si>
  <si>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</si>
  <si>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</si>
  <si>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</si>
  <si>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</si>
  <si>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</si>
  <si>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</si>
  <si>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</si>
  <si>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</si>
  <si>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</si>
  <si>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</si>
  <si>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</si>
  <si>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</si>
  <si>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</si>
  <si>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</si>
  <si>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</si>
  <si>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</si>
  <si>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</si>
  <si>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</si>
  <si>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</si>
  <si>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</si>
  <si>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</si>
  <si>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</si>
  <si>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</si>
  <si>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</si>
  <si>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</si>
  <si>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</si>
  <si>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</si>
  <si>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</si>
  <si>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</si>
  <si>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</si>
  <si>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</si>
  <si>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</si>
  <si>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</si>
  <si>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</si>
  <si>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</si>
  <si>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</si>
  <si>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</si>
  <si>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</si>
  <si>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</si>
  <si>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</si>
  <si>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</si>
  <si>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</si>
  <si>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</si>
  <si>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</si>
  <si>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</si>
  <si>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</si>
  <si>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</si>
  <si>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</si>
  <si>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</si>
  <si>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</si>
  <si>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</si>
  <si>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</si>
  <si>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</si>
  <si>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</si>
  <si>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</si>
  <si>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</si>
  <si>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</si>
  <si>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</si>
  <si>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</si>
  <si>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</si>
  <si>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</si>
  <si>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</si>
  <si>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</si>
  <si>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</si>
  <si>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</si>
  <si>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</si>
  <si>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</si>
  <si>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</si>
  <si>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</si>
  <si>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</si>
  <si>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</si>
  <si>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</si>
  <si>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</si>
  <si>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</si>
  <si>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</si>
  <si>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</si>
  <si>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</si>
  <si>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</si>
  <si>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</si>
  <si>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</si>
  <si>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</si>
  <si>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</si>
  <si>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</si>
  <si>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</si>
  <si>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</si>
  <si>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</si>
  <si>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</si>
  <si>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</si>
  <si>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</si>
  <si>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</si>
  <si>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</si>
  <si>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</si>
  <si>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</si>
  <si>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</si>
  <si>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</si>
  <si>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</si>
  <si>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</si>
  <si>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</si>
  <si>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</si>
  <si>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</si>
  <si>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</si>
  <si>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</si>
  <si>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</si>
  <si>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</si>
  <si>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</si>
  <si>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</si>
  <si>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</si>
  <si>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</si>
  <si>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</si>
  <si>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</si>
  <si>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</si>
  <si>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</si>
  <si>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</si>
  <si>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</si>
  <si>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</si>
  <si>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</si>
  <si>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</si>
  <si>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</si>
  <si>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</si>
  <si>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</si>
  <si>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</si>
  <si>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</si>
  <si>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</si>
  <si>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</si>
  <si>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</si>
  <si>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</si>
  <si>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</si>
  <si>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</si>
  <si>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</si>
  <si>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</si>
  <si>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</si>
  <si>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</si>
  <si>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</si>
  <si>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</si>
  <si>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</si>
  <si>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</si>
  <si>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</si>
  <si>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</si>
  <si>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</si>
  <si>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</si>
  <si>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</si>
  <si>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</si>
  <si>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</si>
  <si>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</si>
  <si>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</si>
  <si>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</si>
  <si>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</si>
  <si>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</si>
  <si>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</si>
  <si>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</si>
  <si>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</si>
  <si>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</si>
  <si>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</si>
  <si>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</si>
  <si>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</si>
  <si>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</si>
  <si>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</si>
  <si>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</si>
  <si>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</si>
  <si>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</si>
  <si>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</si>
  <si>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</si>
  <si>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</si>
  <si>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</si>
  <si>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</si>
  <si>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</si>
  <si>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</si>
  <si>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</si>
  <si>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</si>
  <si>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</si>
  <si>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</si>
  <si>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</si>
  <si>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</si>
  <si>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</si>
  <si>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</si>
  <si>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</si>
  <si>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</si>
  <si>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</si>
  <si>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</si>
  <si>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</si>
  <si>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</si>
  <si>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</si>
  <si>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</si>
  <si>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</si>
  <si>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</si>
  <si>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</si>
  <si>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</si>
  <si>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</si>
  <si>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</si>
  <si>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</si>
  <si>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</si>
  <si>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</si>
  <si>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</si>
  <si>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</si>
  <si>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</si>
  <si>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</si>
  <si>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</si>
  <si>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</si>
  <si>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</si>
  <si>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</si>
  <si>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</si>
  <si>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</si>
  <si>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</si>
  <si>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</si>
  <si>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</si>
  <si>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</si>
  <si>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</si>
  <si>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</si>
  <si>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</si>
  <si>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</si>
  <si>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</si>
  <si>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</si>
  <si>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</si>
  <si>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</si>
  <si>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</si>
  <si>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</si>
  <si>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</si>
  <si>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</si>
  <si>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</si>
  <si>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</si>
  <si>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</si>
  <si>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</si>
  <si>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</si>
  <si>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</si>
  <si>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</si>
  <si>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</si>
  <si>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</si>
  <si>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</si>
  <si>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</si>
  <si>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</si>
  <si>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</si>
  <si>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</si>
  <si>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</si>
  <si>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</si>
  <si>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</si>
  <si>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</si>
  <si>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</si>
  <si>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</si>
  <si>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</si>
  <si>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</si>
  <si>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</si>
  <si>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</si>
  <si>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</si>
  <si>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</si>
  <si>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</si>
  <si>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</si>
  <si>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</si>
  <si>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</si>
  <si>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</si>
  <si>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</si>
  <si>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</si>
  <si>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</si>
  <si>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</si>
  <si>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</si>
  <si>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</si>
  <si>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</si>
  <si>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</si>
  <si>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</si>
  <si>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</si>
  <si>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</si>
  <si>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</si>
  <si>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</si>
  <si>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</si>
  <si>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</si>
  <si>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</si>
  <si>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</si>
  <si>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</si>
  <si>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</si>
  <si>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</si>
  <si>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</si>
  <si>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</si>
  <si>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</si>
  <si>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</si>
  <si>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</si>
  <si>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</si>
  <si>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</si>
  <si>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</si>
  <si>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</si>
  <si>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</si>
  <si>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</si>
  <si>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</si>
  <si>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</si>
  <si>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</si>
  <si>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</si>
  <si>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</si>
  <si>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</si>
  <si>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</si>
  <si>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</si>
  <si>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</si>
  <si>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</si>
  <si>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</si>
  <si>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</si>
  <si>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</si>
  <si>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</si>
  <si>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</si>
  <si>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</si>
  <si>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</si>
  <si>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</si>
  <si>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</si>
  <si>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</si>
  <si>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</si>
  <si>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</si>
  <si>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</si>
  <si>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</si>
  <si>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</si>
  <si>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</si>
  <si>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</si>
  <si>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</si>
  <si>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</si>
  <si>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</si>
  <si>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</si>
  <si>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</si>
  <si>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</si>
  <si>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</si>
  <si>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</si>
  <si>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</si>
  <si>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</si>
  <si>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</si>
  <si>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</si>
  <si>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</si>
  <si>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</si>
  <si>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</si>
  <si>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</si>
  <si>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</si>
  <si>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</si>
  <si>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</si>
  <si>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</si>
  <si>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</si>
  <si>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</si>
  <si>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</si>
  <si>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</si>
  <si>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</si>
  <si>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</si>
  <si>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</si>
  <si>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</si>
  <si>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</si>
  <si>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</si>
  <si>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</si>
  <si>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</si>
  <si>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</si>
  <si>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</si>
  <si>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</si>
  <si>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</si>
  <si>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</si>
  <si>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</si>
  <si>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</si>
  <si>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</si>
  <si>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</si>
  <si>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</si>
  <si>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</si>
  <si>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</si>
  <si>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</si>
  <si>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</si>
  <si>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</si>
  <si>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</si>
  <si>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</si>
  <si>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</si>
  <si>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</si>
  <si>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</si>
  <si>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</si>
  <si>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</si>
  <si>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</si>
  <si>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</si>
  <si>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</si>
  <si>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</si>
  <si>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</si>
  <si>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</si>
  <si>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</si>
  <si>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</si>
  <si>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</si>
  <si>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</si>
  <si>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</si>
  <si>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</si>
  <si>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</si>
  <si>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</si>
  <si>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</si>
  <si>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</si>
  <si>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</si>
  <si>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</si>
  <si>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</si>
  <si>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</si>
  <si>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</si>
  <si>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</si>
  <si>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</si>
  <si>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</si>
  <si>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</si>
  <si>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</si>
  <si>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</si>
  <si>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</si>
  <si>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</si>
  <si>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</si>
  <si>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</si>
  <si>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</si>
  <si>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</si>
  <si>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</si>
  <si>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</si>
  <si>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</si>
  <si>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</si>
  <si>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</si>
  <si>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</si>
  <si>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</si>
  <si>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</si>
  <si>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</si>
  <si>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</si>
  <si>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</si>
  <si>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</si>
  <si>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</si>
  <si>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</si>
  <si>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</si>
  <si>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</si>
  <si>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</si>
  <si>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</si>
  <si>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</si>
  <si>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</si>
  <si>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</si>
  <si>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</si>
  <si>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</si>
  <si>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</si>
  <si>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</si>
  <si>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</si>
  <si>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</si>
  <si>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</si>
  <si>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</si>
  <si>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</si>
  <si>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</si>
  <si>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</si>
  <si>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</si>
  <si>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</si>
  <si>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</si>
  <si>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</si>
  <si>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</si>
  <si>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</si>
  <si>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</si>
  <si>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</si>
  <si>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</si>
  <si>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</si>
  <si>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</si>
  <si>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</si>
  <si>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</si>
  <si>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</si>
  <si>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</si>
  <si>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</si>
  <si>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</si>
  <si>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</si>
  <si>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</si>
  <si>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</si>
  <si>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</si>
  <si>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</si>
  <si>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</si>
  <si>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</si>
  <si>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</si>
  <si>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</si>
  <si>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</si>
  <si>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</si>
  <si>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</si>
  <si>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</si>
  <si>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</si>
  <si>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</si>
  <si>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</si>
  <si>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</si>
  <si>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</si>
  <si>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</si>
  <si>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</si>
  <si>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</si>
  <si>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</si>
  <si>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</si>
  <si>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</si>
  <si>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</si>
  <si>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</si>
  <si>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</si>
  <si>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</si>
  <si>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</si>
  <si>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</si>
  <si>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</si>
  <si>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</si>
  <si>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</si>
  <si>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</si>
  <si>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</si>
  <si>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</si>
  <si>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</si>
  <si>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</si>
  <si>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</si>
  <si>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</si>
  <si>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</si>
  <si>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</si>
  <si>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</si>
  <si>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</si>
  <si>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</si>
  <si>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</si>
  <si>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</si>
  <si>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</si>
  <si>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</si>
  <si>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</si>
  <si>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</si>
  <si>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</si>
  <si>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</si>
  <si>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</si>
  <si>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</si>
  <si>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</si>
  <si>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</si>
  <si>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</si>
  <si>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</si>
  <si>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</si>
  <si>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</si>
  <si>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</si>
  <si>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</si>
  <si>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</si>
  <si>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</si>
  <si>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</si>
  <si>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</si>
  <si>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</si>
  <si>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</si>
  <si>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</si>
  <si>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</si>
  <si>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</si>
  <si>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</si>
  <si>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</si>
  <si>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</si>
  <si>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</si>
  <si>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</si>
  <si>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</si>
  <si>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</si>
  <si>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</si>
  <si>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</si>
  <si>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</si>
  <si>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</si>
  <si>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</si>
  <si>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</si>
  <si>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</si>
  <si>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</si>
  <si>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</si>
  <si>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</si>
  <si>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</si>
  <si>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</si>
  <si>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</si>
  <si>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</si>
  <si>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</si>
  <si>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</si>
  <si>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</si>
  <si>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</si>
  <si>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</si>
  <si>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</si>
  <si>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</si>
  <si>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</si>
  <si>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</si>
  <si>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</si>
  <si>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</si>
  <si>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</si>
  <si>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</si>
  <si>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</si>
  <si>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</si>
  <si>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</si>
  <si>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</si>
  <si>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</si>
  <si>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</si>
  <si>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</si>
  <si>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</si>
  <si>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</si>
  <si>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</si>
  <si>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</si>
  <si>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</si>
  <si>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</si>
  <si>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</si>
  <si>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</si>
  <si>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</si>
  <si>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</si>
  <si>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</si>
  <si>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</si>
  <si>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</si>
  <si>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</si>
  <si>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</si>
  <si>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</si>
  <si>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</si>
  <si>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</si>
  <si>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</si>
  <si>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</si>
  <si>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</si>
  <si>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</si>
  <si>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</si>
  <si>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</si>
  <si>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</si>
  <si>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</si>
  <si>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</si>
  <si>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</si>
  <si>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</si>
  <si>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</si>
  <si>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</si>
  <si>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</si>
  <si>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</si>
  <si>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</si>
  <si>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</si>
  <si>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</si>
  <si>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</si>
  <si>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</si>
  <si>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</si>
  <si>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</si>
  <si>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</si>
  <si>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</si>
  <si>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</si>
  <si>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</si>
  <si>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</si>
  <si>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</si>
  <si>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</si>
  <si>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</si>
  <si>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</si>
  <si>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</si>
  <si>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</si>
  <si>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</si>
  <si>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</si>
  <si>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</si>
  <si>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</si>
  <si>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</si>
  <si>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</si>
  <si>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</si>
  <si>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</si>
  <si>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</si>
  <si>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</si>
  <si>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</si>
  <si>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</si>
  <si>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</si>
  <si>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</si>
  <si>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</si>
  <si>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</si>
  <si>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</si>
  <si>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</si>
  <si>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</si>
  <si>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</si>
  <si>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</si>
  <si>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</si>
  <si>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</si>
  <si>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</si>
  <si>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</si>
  <si>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</si>
  <si>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</si>
  <si>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</si>
  <si>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</si>
  <si>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</si>
  <si>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</si>
  <si>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</si>
  <si>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</si>
  <si>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</si>
  <si>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</si>
  <si>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</si>
  <si>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</si>
  <si>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</si>
  <si>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</si>
  <si>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</si>
  <si>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</si>
  <si>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</si>
  <si>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</si>
  <si>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</si>
  <si>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</si>
  <si>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</si>
  <si>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</si>
  <si>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</si>
  <si>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</si>
  <si>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</si>
  <si>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</si>
  <si>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</si>
  <si>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</si>
  <si>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</si>
  <si>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</si>
  <si>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</si>
  <si>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</si>
  <si>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</si>
  <si>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</si>
  <si>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</si>
  <si>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</si>
  <si>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</si>
  <si>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</si>
  <si>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</si>
  <si>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</si>
  <si>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</si>
  <si>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</si>
  <si>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</si>
  <si>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</si>
  <si>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</si>
  <si>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</si>
  <si>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</si>
  <si>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</si>
  <si>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</si>
  <si>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</si>
  <si>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</si>
  <si>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</si>
  <si>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</si>
  <si>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</si>
  <si>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</si>
  <si>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</si>
  <si>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</si>
  <si>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</si>
  <si>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</si>
  <si>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</si>
  <si>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</si>
  <si>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</si>
  <si>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</si>
  <si>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</si>
  <si>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</si>
  <si>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</si>
  <si>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</si>
  <si>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</si>
  <si>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</si>
  <si>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</si>
  <si>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</si>
  <si>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</si>
  <si>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</si>
  <si>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</si>
  <si>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</si>
  <si>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</si>
  <si>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</si>
  <si>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</si>
  <si>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</si>
  <si>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</si>
  <si>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</si>
  <si>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</si>
  <si>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</si>
  <si>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</si>
  <si>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</si>
  <si>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</si>
  <si>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</si>
  <si>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</si>
  <si>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</si>
  <si>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</si>
  <si>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</si>
  <si>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</si>
  <si>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</si>
  <si>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</si>
  <si>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</si>
  <si>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</si>
  <si>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</si>
  <si>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</si>
  <si>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</si>
  <si>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</si>
  <si>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</si>
  <si>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</si>
  <si>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</si>
  <si>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</si>
  <si>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</si>
  <si>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</si>
  <si>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</si>
  <si>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</si>
  <si>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</si>
  <si>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</si>
  <si>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</si>
  <si>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</si>
  <si>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</si>
  <si>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</si>
  <si>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</si>
  <si>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</si>
  <si>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</si>
  <si>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</si>
  <si>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</si>
  <si>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</si>
  <si>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</si>
  <si>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</si>
  <si>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</si>
  <si>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</si>
  <si>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</si>
  <si>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</si>
  <si>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</si>
  <si>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</si>
  <si>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</si>
  <si>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</si>
  <si>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</si>
  <si>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</si>
  <si>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</si>
  <si>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</si>
  <si>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</si>
  <si>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</si>
  <si>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</si>
  <si>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</si>
  <si>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</si>
  <si>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</si>
  <si>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</si>
  <si>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</si>
  <si>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</si>
  <si>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</si>
  <si>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</si>
  <si>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</si>
  <si>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</si>
  <si>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</si>
  <si>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</si>
  <si>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</si>
  <si>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</si>
  <si>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</si>
  <si>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</si>
  <si>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</si>
  <si>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</si>
  <si>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</si>
  <si>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</si>
  <si>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</si>
  <si>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</si>
  <si>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</si>
  <si>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</si>
  <si>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</si>
  <si>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</si>
  <si>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</si>
  <si>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</si>
  <si>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</si>
  <si>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</si>
  <si>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</si>
  <si>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</si>
  <si>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</si>
  <si>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</si>
  <si>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</si>
  <si>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</si>
  <si>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</si>
  <si>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</si>
  <si>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</si>
  <si>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</si>
  <si>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</si>
  <si>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</si>
  <si>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</si>
  <si>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</si>
  <si>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</si>
  <si>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</si>
  <si>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</si>
  <si>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</si>
  <si>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</si>
  <si>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</si>
  <si>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</si>
  <si>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</si>
  <si>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</si>
  <si>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</si>
  <si>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</si>
  <si>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</si>
  <si>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</si>
  <si>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</si>
  <si>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</si>
  <si>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</si>
  <si>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</si>
  <si>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</si>
  <si>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</si>
  <si>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</si>
  <si>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</si>
  <si>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</si>
  <si>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</si>
  <si>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</si>
  <si>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</si>
  <si>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</si>
  <si>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</si>
  <si>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</si>
  <si>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</si>
  <si>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</si>
  <si>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</si>
  <si>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</si>
  <si>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</si>
  <si>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</si>
  <si>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</si>
  <si>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</si>
  <si>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</si>
  <si>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</si>
  <si>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</si>
  <si>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</si>
  <si>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</si>
  <si>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</si>
  <si>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</si>
  <si>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</si>
  <si>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</si>
  <si>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</si>
  <si>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</si>
  <si>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</si>
  <si>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</si>
  <si>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</si>
  <si>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</si>
  <si>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</si>
  <si>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</si>
  <si>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</si>
  <si>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</si>
  <si>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</si>
  <si>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</si>
  <si>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</si>
  <si>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</si>
  <si>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</si>
  <si>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</si>
  <si>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</si>
  <si>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</si>
  <si>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</si>
  <si>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</si>
  <si>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</si>
  <si>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</si>
  <si>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</si>
  <si>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</si>
  <si>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</si>
  <si>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</si>
  <si>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</si>
  <si>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</si>
  <si>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</si>
  <si>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</si>
  <si>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</si>
  <si>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</si>
  <si>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</si>
  <si>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</si>
  <si>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</si>
  <si>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</si>
  <si>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</si>
  <si>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</si>
  <si>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</si>
  <si>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</si>
  <si>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</si>
  <si>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</si>
  <si>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</si>
  <si>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</si>
  <si>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</si>
  <si>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</si>
  <si>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</si>
  <si>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</si>
  <si>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</si>
  <si>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</si>
  <si>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</si>
  <si>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</si>
  <si>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</si>
  <si>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</si>
  <si>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</si>
  <si>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</si>
  <si>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</si>
  <si>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</si>
  <si>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</si>
  <si>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</si>
  <si>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</si>
  <si>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</si>
  <si>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</si>
  <si>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</si>
  <si>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</si>
  <si>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</si>
  <si>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</si>
  <si>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</si>
  <si>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</si>
  <si>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</si>
  <si>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</si>
  <si>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</si>
  <si>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</si>
  <si>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</si>
  <si>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</si>
  <si>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</si>
  <si>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</si>
  <si>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</si>
  <si>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</si>
  <si>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</si>
  <si>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</si>
  <si>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</si>
  <si>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</si>
  <si>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</si>
  <si>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</si>
  <si>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</si>
  <si>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</si>
  <si>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</si>
  <si>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</si>
  <si>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</si>
  <si>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</si>
  <si>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</si>
  <si>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</si>
  <si>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</si>
  <si>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</si>
  <si>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</si>
  <si>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</si>
  <si>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</si>
  <si>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</si>
  <si>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</si>
  <si>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</si>
  <si>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</si>
  <si>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</si>
  <si>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</si>
  <si>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</si>
  <si>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</si>
  <si>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</si>
  <si>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</si>
  <si>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</si>
  <si>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</si>
  <si>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</si>
  <si>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</si>
  <si>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</si>
  <si>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</si>
  <si>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</si>
  <si>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</si>
  <si>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</si>
  <si>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</si>
  <si>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</si>
  <si>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</si>
  <si>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</si>
  <si>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</si>
  <si>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</si>
  <si>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</si>
  <si>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</si>
  <si>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</si>
  <si>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</si>
  <si>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</si>
  <si>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</si>
  <si>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</si>
  <si>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</si>
  <si>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</si>
  <si>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</si>
  <si>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</si>
  <si>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</si>
  <si>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</si>
  <si>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</si>
  <si>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</si>
  <si>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</si>
  <si>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</si>
  <si>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</si>
  <si>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</si>
  <si>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</si>
  <si>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</si>
  <si>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</si>
  <si>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</si>
  <si>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</si>
  <si>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</si>
  <si>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</si>
  <si>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</si>
  <si>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</si>
  <si>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</si>
  <si>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</si>
  <si>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</si>
  <si>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</si>
  <si>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</si>
  <si>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</si>
  <si>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</si>
  <si>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</si>
  <si>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</si>
  <si>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</si>
  <si>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</si>
  <si>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</si>
  <si>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</si>
  <si>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</si>
  <si>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</si>
  <si>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</si>
  <si>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</si>
  <si>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</si>
  <si>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</si>
  <si>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</si>
  <si>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</si>
  <si>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</si>
  <si>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</si>
  <si>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</si>
  <si>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</si>
  <si>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</si>
  <si>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</si>
  <si>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</si>
  <si>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</si>
  <si>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</si>
  <si>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</si>
  <si>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</si>
  <si>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</si>
  <si>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</si>
  <si>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</si>
  <si>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</si>
  <si>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</si>
  <si>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</si>
  <si>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</si>
  <si>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</si>
  <si>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</si>
  <si>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</si>
  <si>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</si>
  <si>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</si>
  <si>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</si>
  <si>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</si>
  <si>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</si>
  <si>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</si>
  <si>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</si>
  <si>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</si>
  <si>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</si>
  <si>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</si>
  <si>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</si>
  <si>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</si>
  <si>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</si>
  <si>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</si>
  <si>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</si>
  <si>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</si>
  <si>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</si>
  <si>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</si>
  <si>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</si>
  <si>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</si>
  <si>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</si>
  <si>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</si>
  <si>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</si>
  <si>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</si>
  <si>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</si>
  <si>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</si>
  <si>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</si>
  <si>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</si>
  <si>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</si>
  <si>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</si>
  <si>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</si>
  <si>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</si>
  <si>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</si>
  <si>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</si>
  <si>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</si>
  <si>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</si>
  <si>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</si>
  <si>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</si>
  <si>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</si>
  <si>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</si>
  <si>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</si>
  <si>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</si>
  <si>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</si>
  <si>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</si>
  <si>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</si>
  <si>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</si>
  <si>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</si>
  <si>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</si>
  <si>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</si>
  <si>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</si>
  <si>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</si>
  <si>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</si>
  <si>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</si>
  <si>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</si>
  <si>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</si>
  <si>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</si>
  <si>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</si>
  <si>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</si>
  <si>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</si>
  <si>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</si>
  <si>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</si>
  <si>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</si>
  <si>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</si>
  <si>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</si>
  <si>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</si>
  <si>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</si>
  <si>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</si>
  <si>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</si>
  <si>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</si>
  <si>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</si>
  <si>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</si>
  <si>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</si>
  <si>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</si>
  <si>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</si>
  <si>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</si>
  <si>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</si>
  <si>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</si>
  <si>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</si>
  <si>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</si>
  <si>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</si>
  <si>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</si>
  <si>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</si>
  <si>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</si>
  <si>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</si>
  <si>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</si>
  <si>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</si>
  <si>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</si>
  <si>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</si>
  <si>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</si>
  <si>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</si>
  <si>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</si>
  <si>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</si>
  <si>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</si>
  <si>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</si>
  <si>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</si>
  <si>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</si>
  <si>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</si>
  <si>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</si>
  <si>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</si>
  <si>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</si>
  <si>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</si>
  <si>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</si>
  <si>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</si>
  <si>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</si>
  <si>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</si>
  <si>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</si>
  <si>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</si>
  <si>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</si>
  <si>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</si>
  <si>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</si>
  <si>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</si>
  <si>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</si>
  <si>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</si>
  <si>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</si>
  <si>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</si>
  <si>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</si>
  <si>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</si>
  <si>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</si>
  <si>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</si>
  <si>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</si>
  <si>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</si>
  <si>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</si>
  <si>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</si>
  <si>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</si>
  <si>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</si>
  <si>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</si>
  <si>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</si>
  <si>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</si>
  <si>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</si>
  <si>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</si>
  <si>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</si>
  <si>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</si>
  <si>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</si>
  <si>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</si>
  <si>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</si>
  <si>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</si>
  <si>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</si>
  <si>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</si>
  <si>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</si>
  <si>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</si>
  <si>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</si>
  <si>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</si>
  <si>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</si>
  <si>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</si>
  <si>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</si>
  <si>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</si>
  <si>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</si>
  <si>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</si>
  <si>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</si>
  <si>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</si>
  <si>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</si>
  <si>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</si>
  <si>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</si>
  <si>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</si>
  <si>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</si>
  <si>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</si>
  <si>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</si>
  <si>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</si>
  <si>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</si>
  <si>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</si>
  <si>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</si>
  <si>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</si>
  <si>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</si>
  <si>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</si>
  <si>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</si>
  <si>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</si>
  <si>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</si>
  <si>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</si>
  <si>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</si>
  <si>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</si>
  <si>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</si>
  <si>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</si>
  <si>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</si>
  <si>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</si>
  <si>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</si>
  <si>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</si>
  <si>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</si>
  <si>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</si>
  <si>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</si>
  <si>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</si>
  <si>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</si>
  <si>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</si>
  <si>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</si>
  <si>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</si>
  <si>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</si>
  <si>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</si>
  <si>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</si>
  <si>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</si>
  <si>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</si>
  <si>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</si>
  <si>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</si>
  <si>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</si>
  <si>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</si>
  <si>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</si>
  <si>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</si>
  <si>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</si>
  <si>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</si>
  <si>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</si>
  <si>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</si>
  <si>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</si>
  <si>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</si>
  <si>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</si>
  <si>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</si>
  <si>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</si>
  <si>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</si>
  <si>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</si>
  <si>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</si>
  <si>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</si>
  <si>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</si>
  <si>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</si>
  <si>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</si>
  <si>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</si>
  <si>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</si>
  <si>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</si>
  <si>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</si>
  <si>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</si>
  <si>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</si>
  <si>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</si>
  <si>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</si>
  <si>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</si>
  <si>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</si>
  <si>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</si>
  <si>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</si>
  <si>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</si>
  <si>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</si>
  <si>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</si>
  <si>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</si>
  <si>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</si>
  <si>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</si>
  <si>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</si>
  <si>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</si>
  <si>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</si>
  <si>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</si>
  <si>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</si>
  <si>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</si>
  <si>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</si>
  <si>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</si>
  <si>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</si>
  <si>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</si>
  <si>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</si>
  <si>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</si>
  <si>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</si>
  <si>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</si>
  <si>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</si>
  <si>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</si>
  <si>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</si>
  <si>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</si>
  <si>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</si>
  <si>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</si>
  <si>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</si>
  <si>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</si>
  <si>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</si>
  <si>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</si>
  <si>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</si>
  <si>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</si>
  <si>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</si>
  <si>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</si>
  <si>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</si>
  <si>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</si>
  <si>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</si>
  <si>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</si>
  <si>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</si>
  <si>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</si>
  <si>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</si>
  <si>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</si>
  <si>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</si>
  <si>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</si>
  <si>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</si>
  <si>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</si>
  <si>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</si>
  <si>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</si>
  <si>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</si>
  <si>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</si>
  <si>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</si>
  <si>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</si>
  <si>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</si>
  <si>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</si>
  <si>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</si>
  <si>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</si>
  <si>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</si>
  <si>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</si>
  <si>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</si>
  <si>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</si>
  <si>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</si>
  <si>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</si>
  <si>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</si>
  <si>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</si>
  <si>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</si>
  <si>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</si>
  <si>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</si>
  <si>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</si>
  <si>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</si>
  <si>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</si>
  <si>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</si>
  <si>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</si>
  <si>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</si>
  <si>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</si>
  <si>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</si>
  <si>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</si>
  <si>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</si>
  <si>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</si>
  <si>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</si>
  <si>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</si>
  <si>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</si>
  <si>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</si>
  <si>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</si>
  <si>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</si>
  <si>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</si>
  <si>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</si>
  <si>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</si>
  <si>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</si>
  <si>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</si>
  <si>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</si>
  <si>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</si>
  <si>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</si>
  <si>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</si>
  <si>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</si>
  <si>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</si>
  <si>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</si>
  <si>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</si>
  <si>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</si>
  <si>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</si>
  <si>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</si>
  <si>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</si>
  <si>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</si>
  <si>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</si>
  <si>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</si>
  <si>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</si>
  <si>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</si>
  <si>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</si>
  <si>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</si>
  <si>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</si>
  <si>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</si>
  <si>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</si>
  <si>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</si>
  <si>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</si>
  <si>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</si>
  <si>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</si>
  <si>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</si>
  <si>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</si>
  <si>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</si>
  <si>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</si>
  <si>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</si>
  <si>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</si>
  <si>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</si>
  <si>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</si>
  <si>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</si>
  <si>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</si>
  <si>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</si>
  <si>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</si>
  <si>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</si>
  <si>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</si>
  <si>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</si>
  <si>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</si>
  <si>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</si>
  <si>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</si>
  <si>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</si>
  <si>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</si>
  <si>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</si>
  <si>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</si>
  <si>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</si>
  <si>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</si>
  <si>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</si>
  <si>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</si>
  <si>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</si>
  <si>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</si>
  <si>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</si>
  <si>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</si>
  <si>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</si>
  <si>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</si>
  <si>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</si>
  <si>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</si>
  <si>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</si>
  <si>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</si>
  <si>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</si>
  <si>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</si>
  <si>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</si>
  <si>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</si>
  <si>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</si>
  <si>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</si>
  <si>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</si>
  <si>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</si>
  <si>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</si>
  <si>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</si>
  <si>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</si>
  <si>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</si>
  <si>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</si>
  <si>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</si>
  <si>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</si>
  <si>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</si>
  <si>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</si>
  <si>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</si>
  <si>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</si>
  <si>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</si>
  <si>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</si>
  <si>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</si>
  <si>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</si>
  <si>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</si>
  <si>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</si>
  <si>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</si>
  <si>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</si>
  <si>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</si>
  <si>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</si>
  <si>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</si>
  <si>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</si>
  <si>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</si>
  <si>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</si>
  <si>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</si>
  <si>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</si>
  <si>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</si>
  <si>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</si>
  <si>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</si>
  <si>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</si>
  <si>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</si>
  <si>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</si>
  <si>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</si>
  <si>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</si>
  <si>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</si>
  <si>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</si>
  <si>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</si>
  <si>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</si>
  <si>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</si>
  <si>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</si>
  <si>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</si>
  <si>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</si>
  <si>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</si>
  <si>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</si>
  <si>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</si>
  <si>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</si>
  <si>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</si>
  <si>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</si>
  <si>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</si>
  <si>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</si>
  <si>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</si>
  <si>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</si>
  <si>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</si>
  <si>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</si>
  <si>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</si>
  <si>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</si>
  <si>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</si>
  <si>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</si>
  <si>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</si>
  <si>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</si>
  <si>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</si>
  <si>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</si>
  <si>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</si>
  <si>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</si>
  <si>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</si>
  <si>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</si>
  <si>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</si>
  <si>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</si>
  <si>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</si>
  <si>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</si>
  <si>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</si>
  <si>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</si>
  <si>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</si>
  <si>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</si>
  <si>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</si>
  <si>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</si>
  <si>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</si>
  <si>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</si>
  <si>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</si>
  <si>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</si>
  <si>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</si>
  <si>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</si>
  <si>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</si>
  <si>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</si>
  <si>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</si>
  <si>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</si>
  <si>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</si>
  <si>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</si>
  <si>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</si>
  <si>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</si>
  <si>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</si>
  <si>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</si>
  <si>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</si>
  <si>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</si>
  <si>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</si>
  <si>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</si>
  <si>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</si>
  <si>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</si>
  <si>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</si>
  <si>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</si>
  <si>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</si>
  <si>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</si>
  <si>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</si>
  <si>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</si>
  <si>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</si>
  <si>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</si>
  <si>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</si>
  <si>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</si>
  <si>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</si>
  <si>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</si>
  <si>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</si>
  <si>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</si>
  <si>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</si>
  <si>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</si>
  <si>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</si>
  <si>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</si>
  <si>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</si>
  <si>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</si>
  <si>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</si>
  <si>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</si>
  <si>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</si>
  <si>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</si>
  <si>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</si>
  <si>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</si>
  <si>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</si>
  <si>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</si>
  <si>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</si>
  <si>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</si>
  <si>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</si>
  <si>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</si>
  <si>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</si>
  <si>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</si>
  <si>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</si>
  <si>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</si>
  <si>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</si>
  <si>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</si>
  <si>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</si>
  <si>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</si>
  <si>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</si>
  <si>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</si>
  <si>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</si>
  <si>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</si>
  <si>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</si>
  <si>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</si>
  <si>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</si>
  <si>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</si>
  <si>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</si>
  <si>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</si>
  <si>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</si>
  <si>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</si>
  <si>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</si>
  <si>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</si>
  <si>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</si>
  <si>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</si>
  <si>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</si>
  <si>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</si>
  <si>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</si>
  <si>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</si>
  <si>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</si>
  <si>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</si>
  <si>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</si>
  <si>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</si>
  <si>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</si>
  <si>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</si>
  <si>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</si>
  <si>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</si>
  <si>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</si>
  <si>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</si>
  <si>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</si>
  <si>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</si>
  <si>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</si>
  <si>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</si>
  <si>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</si>
  <si>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</si>
  <si>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Marvella Sanchez</t>
  </si>
  <si>
    <t>Product Compliance Engineer, Sr.</t>
  </si>
  <si>
    <t>marvella.sanchez@bourns.com</t>
  </si>
  <si>
    <t>951-781-5307</t>
  </si>
  <si>
    <t>+52-664-6086834</t>
  </si>
  <si>
    <t>https://www.bourns.com/docs/rohs-content/responsible_metals_statement.pdf?sfvrsn=f2ab84f1_15</t>
  </si>
  <si>
    <t>BIDD05N60T</t>
  </si>
  <si>
    <t>IGBT</t>
  </si>
  <si>
    <t>BIDW20N60T</t>
  </si>
  <si>
    <t>BIDW30N60T</t>
  </si>
  <si>
    <t>BIDW50N65T</t>
  </si>
  <si>
    <t>BIDNW30N60H3</t>
  </si>
  <si>
    <t>BIDW40N65H5</t>
  </si>
  <si>
    <t>BIDW40N65ES5</t>
  </si>
  <si>
    <t>BIDW75N65EH5</t>
  </si>
  <si>
    <t>BIDW75N65ES5</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</si>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</sst>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C4C61F0-4EDF-4A3E-8A0E-DE200FD51A9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25722B2-35F8-42F7-9BC7-17BE7BB6AAE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58" zoomScale="85" zoomScaleNormal="85" zoomScalePageLayoutView="70" workbookViewId="0">
      <selection activeCell="D69" sqref="D69:E6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45832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765</v>
      </c>
      <c r="B5" s="182" t="str">
        <f ca="1">IF(LEN(A5)=0,"",INDEX('Smelter Look-up'!$A:$A,MATCH($A5,'Smelter Look-up'!$E:$E,0)))</f>
        <v>Tin</v>
      </c>
      <c r="C5" s="186" t="str">
        <f ca="1">IF(LEN(A5)=0,"",INDEX('Smelter Look-up'!$C:$C,MATCH($A5,'Smelter Look-up'!$E:$E,0)))</f>
        <v>Yunnan Chengfeng Non-ferrous Metals Co., Ltd.</v>
      </c>
      <c r="D5" s="230"/>
      <c r="E5" s="182" t="str">
        <f ca="1">IF(ISERROR($V5),"",OFFSET('Smelter Look-up'!$D$4,$V5-4,0)&amp;"")</f>
        <v>CHINA</v>
      </c>
      <c r="F5" s="182" t="str">
        <f ca="1">IF(ISERROR($V5),"",OFFSET('Smelter Look-up'!$E$4,$V5-4,0))</f>
        <v>CID002158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Yunnan Chengfeng Non-ferrous Metals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539</v>
      </c>
      <c r="X5" s="227">
        <f t="shared" ref="X5" ca="1" si="0">IF(AND(C5="Smelter not listed",OR(LEN(D5)=0,LEN(E5)=0)),1,0)</f>
        <v>0</v>
      </c>
      <c r="AB5" s="228" t="str">
        <f t="shared" ref="AB5" ca="1" si="1">B5&amp;C5</f>
        <v>TinYunnan Chengfeng Non-ferrous Metals Co., Ltd.</v>
      </c>
    </row>
    <row r="6" spans="1:34" s="227" customFormat="1" ht="20.100000000000001" customHeight="1">
      <c r="A6" s="262" t="s">
        <v>766</v>
      </c>
      <c r="B6" s="182" t="str">
        <f ca="1">IF(LEN(A6)=0,"",INDEX('Smelter Look-up'!$A:$A,MATCH($A6,'Smelter Look-up'!$E:$E,0)))</f>
        <v>Tin</v>
      </c>
      <c r="C6" s="186" t="str">
        <f ca="1">IF(LEN(A6)=0,"",INDEX('Smelter Look-up'!$C:$C,MATCH($A6,'Smelter Look-up'!$E:$E,0)))</f>
        <v>Tin Smelting Branch of Yunnan Tin Co., Ltd.</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 ca="1">IF(C6="",NA(),IF(OR(C6="Smelter not listed",C6="Smelter not yet identified"),MATCH($B6&amp;$D6,'Smelter Look-up'!$J:$J,0),MATCH($B6&amp;$C6,'Smelter Look-up'!$J:$J,0)))</f>
        <v>524</v>
      </c>
      <c r="X6" s="227">
        <f t="shared" ref="X6:X37" ca="1" si="3">IF(AND(C6="Smelter not listed",OR(LEN(D6)=0,LEN(E6)=0)),1,0)</f>
        <v>0</v>
      </c>
      <c r="AB6" s="228" t="str">
        <f t="shared" ref="AB6:AB37" ca="1" si="4">B6&amp;C6</f>
        <v>TinTin Smelting Branch of Yunnan Tin Co., Ltd.</v>
      </c>
    </row>
    <row r="7" spans="1:34" s="227" customFormat="1" ht="20.100000000000001" customHeight="1">
      <c r="A7" s="262" t="s">
        <v>760</v>
      </c>
      <c r="B7" s="182" t="str">
        <f ca="1">IF(LEN(A7)=0,"",INDEX('Smelter Look-up'!$A:$A,MATCH($A7,'Smelter Look-up'!$E:$E,0)))</f>
        <v>Tin</v>
      </c>
      <c r="C7" s="186" t="str">
        <f ca="1">IF(LEN(A7)=0,"",INDEX('Smelter Look-up'!$C:$C,MATCH($A7,'Smelter Look-up'!$E:$E,0)))</f>
        <v>PT Timah Tbk Mentok</v>
      </c>
      <c r="D7" s="230"/>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510</v>
      </c>
      <c r="X7" s="227">
        <f t="shared" ca="1" si="3"/>
        <v>0</v>
      </c>
      <c r="AB7" s="228" t="str">
        <f t="shared" ca="1" si="4"/>
        <v>TinPT Timah Tbk Mentok</v>
      </c>
    </row>
    <row r="8" spans="1:34" s="227" customFormat="1" ht="20.100000000000001" customHeight="1">
      <c r="A8" s="262" t="s">
        <v>777</v>
      </c>
      <c r="B8" s="182" t="str">
        <f ca="1">IF(LEN(A8)=0,"",INDEX('Smelter Look-up'!$A:$A,MATCH($A8,'Smelter Look-up'!$E:$E,0)))</f>
        <v>Tin</v>
      </c>
      <c r="C8" s="186" t="str">
        <f ca="1">IF(LEN(A8)=0,"",INDEX('Smelter Look-up'!$C:$C,MATCH($A8,'Smelter Look-up'!$E:$E,0)))</f>
        <v>PT Timah Tbk Kundur</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224"/>
      <c r="O8" s="224"/>
      <c r="P8" s="185"/>
      <c r="Q8" s="225"/>
      <c r="R8" s="182" t="str">
        <f ca="1">IF(ISERROR($V8),"",OFFSET('Smelter Look-up'!$C$4,$V8-4,0)&amp;"")</f>
        <v>PT Timah Tbk Kundur</v>
      </c>
      <c r="S8" s="181" t="str">
        <f t="shared" ca="1" si="2"/>
        <v>ID</v>
      </c>
      <c r="T8" s="181" t="str">
        <f ca="1">IF(B8="","",IF(ISERROR(MATCH($J8,SorP!$B$1:$B$6226,0)),"",INDIRECT("'SorP'!$A$"&amp;MATCH($S8&amp;$J8,SorP!C:C,0))))</f>
        <v>ID-RI</v>
      </c>
      <c r="U8" s="201"/>
      <c r="V8" s="226">
        <f ca="1">IF(C8="",NA(),IF(OR(C8="Smelter not listed",C8="Smelter not yet identified"),MATCH($B8&amp;$D8,'Smelter Look-up'!$J:$J,0),MATCH($B8&amp;$C8,'Smelter Look-up'!$J:$J,0)))</f>
        <v>509</v>
      </c>
      <c r="X8" s="227">
        <f t="shared" ca="1" si="3"/>
        <v>0</v>
      </c>
      <c r="AB8" s="228" t="str">
        <f t="shared" ca="1" si="4"/>
        <v>TinPT Timah Tbk Kundur</v>
      </c>
    </row>
    <row r="9" spans="1:34" s="227" customFormat="1" ht="20.100000000000001" customHeight="1">
      <c r="A9" s="262" t="s">
        <v>2230</v>
      </c>
      <c r="B9" s="182" t="str">
        <f ca="1">IF(LEN(A9)=0,"",INDEX('Smelter Look-up'!$A:$A,MATCH($A9,'Smelter Look-up'!$E:$E,0)))</f>
        <v>Tin</v>
      </c>
      <c r="C9" s="186" t="str">
        <f ca="1">IF(LEN(A9)=0,"",INDEX('Smelter Look-up'!$C:$C,MATCH($A9,'Smelter Look-up'!$E:$E,0)))</f>
        <v>Chenzhou Yunxiang Mining and Metallurgy Co., Ltd.</v>
      </c>
      <c r="D9" s="230"/>
      <c r="E9" s="182" t="str">
        <f ca="1">IF(ISERROR($V9),"",OFFSET('Smelter Look-up'!$D$4,$V9-4,0)&amp;"")</f>
        <v>CHINA</v>
      </c>
      <c r="F9" s="182" t="str">
        <f ca="1">IF(ISERROR($V9),"",OFFSET('Smelter Look-up'!$E$4,$V9-4,0))</f>
        <v>CID000228</v>
      </c>
      <c r="G9" s="182" t="str">
        <f ca="1">IF(C9=$X$4,IF(ISERROR($V9),"Enter smelter details","RMI"),IF(ISERROR($V9),"",OFFSET('Smelter Look-up'!$F$4,$V9-4,0)))</f>
        <v>RMI</v>
      </c>
      <c r="H9" s="183">
        <f ca="1">IF(ISERROR($V9),"",OFFSET('Smelter Look-up'!$G$4,$V9-4,0))</f>
        <v>0</v>
      </c>
      <c r="I9" s="184" t="str">
        <f ca="1">IF(ISERROR($V9),"",OFFSET('Smelter Look-up'!$H$4,$V9-4,0))</f>
        <v>Chenzhou</v>
      </c>
      <c r="J9" s="184" t="str">
        <f ca="1">IF(ISERROR($V9),"",OFFSET('Smelter Look-up'!$I$4,$V9-4,0))</f>
        <v>Hunan Sheng</v>
      </c>
      <c r="K9" s="224"/>
      <c r="L9" s="224"/>
      <c r="M9" s="224"/>
      <c r="N9" s="224"/>
      <c r="O9" s="224"/>
      <c r="P9" s="185"/>
      <c r="Q9" s="225"/>
      <c r="R9" s="182" t="str">
        <f ca="1">IF(ISERROR($V9),"",OFFSET('Smelter Look-up'!$C$4,$V9-4,0)&amp;"")</f>
        <v>Chenzhou Yunxiang Mining and Metallurgy Co., Ltd.</v>
      </c>
      <c r="S9" s="181" t="str">
        <f t="shared" ca="1" si="2"/>
        <v>CN</v>
      </c>
      <c r="T9" s="181" t="str">
        <f ca="1">IF(B9="","",IF(ISERROR(MATCH($J9,SorP!$B$1:$B$6226,0)),"",INDIRECT("'SorP'!$A$"&amp;MATCH($S9&amp;$J9,SorP!C:C,0))))</f>
        <v>CN-HN</v>
      </c>
      <c r="U9" s="201"/>
      <c r="V9" s="226">
        <f ca="1">IF(C9="",NA(),IF(OR(C9="Smelter not listed",C9="Smelter not yet identified"),MATCH($B9&amp;$D9,'Smelter Look-up'!$J:$J,0),MATCH($B9&amp;$C9,'Smelter Look-up'!$J:$J,0)))</f>
        <v>408</v>
      </c>
      <c r="X9" s="227">
        <f t="shared" ca="1" si="3"/>
        <v>0</v>
      </c>
      <c r="AB9" s="228" t="str">
        <f t="shared" ca="1" si="4"/>
        <v>TinChenzhou Yunxiang Mining and Metallurgy Co., Ltd.</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CFBEC6-34DF-4FCA-97A5-30FCB444249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45832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1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15829</v>
      </c>
      <c r="C6" s="98" t="s">
        <v>15830</v>
      </c>
      <c r="D6" s="98"/>
      <c r="E6" s="276"/>
    </row>
    <row r="7" spans="1:6" ht="15.75">
      <c r="A7" s="129"/>
      <c r="B7" s="274" t="s">
        <v>15831</v>
      </c>
      <c r="C7" s="98" t="s">
        <v>15830</v>
      </c>
      <c r="D7" s="98"/>
      <c r="E7" s="276"/>
    </row>
    <row r="8" spans="1:6" ht="15.75">
      <c r="A8" s="129"/>
      <c r="B8" s="274" t="s">
        <v>15832</v>
      </c>
      <c r="C8" s="98" t="s">
        <v>15830</v>
      </c>
      <c r="D8" s="98"/>
      <c r="E8" s="276"/>
    </row>
    <row r="9" spans="1:6" ht="15.75">
      <c r="A9" s="129"/>
      <c r="B9" s="274" t="s">
        <v>15833</v>
      </c>
      <c r="C9" s="98" t="s">
        <v>15830</v>
      </c>
      <c r="D9" s="98"/>
      <c r="E9" s="276"/>
    </row>
    <row r="10" spans="1:6" ht="15.75">
      <c r="A10" s="129"/>
      <c r="B10" s="274" t="s">
        <v>15834</v>
      </c>
      <c r="C10" s="98" t="s">
        <v>15830</v>
      </c>
      <c r="D10" s="98"/>
      <c r="E10" s="276"/>
    </row>
    <row r="11" spans="1:6" ht="15.75">
      <c r="A11" s="129"/>
      <c r="B11" s="274" t="s">
        <v>15835</v>
      </c>
      <c r="C11" s="98" t="s">
        <v>15830</v>
      </c>
      <c r="D11" s="98"/>
      <c r="E11" s="276"/>
    </row>
    <row r="12" spans="1:6" ht="15.75">
      <c r="A12" s="129"/>
      <c r="B12" s="274" t="s">
        <v>15836</v>
      </c>
      <c r="C12" s="98" t="s">
        <v>15830</v>
      </c>
      <c r="D12" s="98"/>
      <c r="E12" s="276"/>
    </row>
    <row r="13" spans="1:6" ht="15.75">
      <c r="A13" s="129"/>
      <c r="B13" s="274" t="s">
        <v>15837</v>
      </c>
      <c r="C13" s="98" t="s">
        <v>15830</v>
      </c>
      <c r="D13" s="98"/>
      <c r="E13" s="276"/>
    </row>
    <row r="14" spans="1:6" ht="15.75">
      <c r="A14" s="129"/>
      <c r="B14" s="274" t="s">
        <v>15838</v>
      </c>
      <c r="C14" s="98" t="s">
        <v>15830</v>
      </c>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2025-06-24T18:48:21Z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